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9420" windowHeight="3735" tabRatio="749" activeTab="1"/>
  </bookViews>
  <sheets>
    <sheet name="1.16" sheetId="4" r:id="rId1"/>
    <sheet name="1.15" sheetId="3" r:id="rId2"/>
    <sheet name="1.18.2" sheetId="5" r:id="rId3"/>
    <sheet name="расшифровки_2018" sheetId="8" r:id="rId4"/>
    <sheet name="амортизация на 20" sheetId="11" r:id="rId5"/>
    <sheet name="налог_имущ_на 20" sheetId="12" r:id="rId6"/>
    <sheet name="Лист1" sheetId="13" state="hidden" r:id="rId7"/>
  </sheets>
  <definedNames>
    <definedName name="_xlnm._FilterDatabase" localSheetId="4" hidden="1">'амортизация на 20'!$B$4:$O$4</definedName>
    <definedName name="_xlnm._FilterDatabase" localSheetId="5" hidden="1">'налог_имущ_на 20'!$A$3:$S$3</definedName>
    <definedName name="_xlnm.Print_Area" localSheetId="1">'1.15'!$A$1:$E$68</definedName>
    <definedName name="_xlnm.Print_Area" localSheetId="0">'1.16'!$A$1:$F$47</definedName>
    <definedName name="_xlnm.Print_Area" localSheetId="2">'1.18.2'!$A$1:$E$61</definedName>
    <definedName name="_xlnm.Print_Area" localSheetId="4">'амортизация на 20'!$B$1:$N$62</definedName>
    <definedName name="_xlnm.Print_Area" localSheetId="3">расшифровки_2018!$A$1:$H$43</definedName>
  </definedNames>
  <calcPr calcId="144525"/>
</workbook>
</file>

<file path=xl/calcChain.xml><?xml version="1.0" encoding="utf-8"?>
<calcChain xmlns="http://schemas.openxmlformats.org/spreadsheetml/2006/main">
  <c r="C54" i="5" l="1"/>
  <c r="E35" i="8" l="1"/>
  <c r="E34" i="8"/>
  <c r="E33" i="8"/>
  <c r="C17" i="8"/>
  <c r="C12" i="8"/>
  <c r="C11" i="8"/>
  <c r="C8" i="8"/>
  <c r="C4" i="8"/>
  <c r="M42" i="11"/>
  <c r="M41" i="11"/>
  <c r="M40" i="11"/>
  <c r="M39" i="11"/>
  <c r="M38" i="11"/>
  <c r="C34" i="5"/>
  <c r="D43" i="5"/>
  <c r="C43" i="5"/>
  <c r="D13" i="3"/>
  <c r="D40" i="3"/>
  <c r="D39" i="3"/>
  <c r="D38" i="3"/>
  <c r="D37" i="3"/>
  <c r="D36" i="3"/>
  <c r="D35" i="3" l="1"/>
  <c r="D34" i="3"/>
  <c r="D11" i="3"/>
  <c r="D8" i="3"/>
  <c r="D51" i="4"/>
  <c r="D50" i="4"/>
  <c r="D13" i="4" l="1"/>
  <c r="D43" i="12" l="1"/>
  <c r="D44" i="12"/>
  <c r="C43" i="12"/>
  <c r="E43" i="12" s="1"/>
  <c r="C44" i="12"/>
  <c r="E44" i="12" s="1"/>
  <c r="F44" i="12" s="1"/>
  <c r="G44" i="12" s="1"/>
  <c r="H44" i="12" s="1"/>
  <c r="I44" i="12" s="1"/>
  <c r="J44" i="12" s="1"/>
  <c r="K44" i="12" s="1"/>
  <c r="L44" i="12" s="1"/>
  <c r="M44" i="12" s="1"/>
  <c r="N44" i="12" s="1"/>
  <c r="O44" i="12" s="1"/>
  <c r="P44" i="12" s="1"/>
  <c r="F43" i="12" l="1"/>
  <c r="G43" i="12" s="1"/>
  <c r="H43" i="12" s="1"/>
  <c r="I43" i="12" s="1"/>
  <c r="J43" i="12" s="1"/>
  <c r="K43" i="12" s="1"/>
  <c r="L43" i="12" s="1"/>
  <c r="M43" i="12" s="1"/>
  <c r="N43" i="12" s="1"/>
  <c r="O43" i="12" s="1"/>
  <c r="P43" i="12" s="1"/>
  <c r="Q44" i="12"/>
  <c r="R44" i="12" s="1"/>
  <c r="Q43" i="12" l="1"/>
  <c r="R43" i="12" s="1"/>
  <c r="D5" i="12" l="1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N36" i="11"/>
  <c r="N37" i="11"/>
  <c r="N38" i="11"/>
  <c r="N39" i="11"/>
  <c r="N40" i="11"/>
  <c r="N41" i="11"/>
  <c r="J54" i="11" s="1"/>
  <c r="N42" i="11"/>
  <c r="N35" i="11"/>
  <c r="J53" i="11"/>
  <c r="J52" i="11"/>
  <c r="J51" i="11"/>
  <c r="Q36" i="11"/>
  <c r="Q38" i="11"/>
  <c r="Q39" i="11"/>
  <c r="Q40" i="11"/>
  <c r="Q41" i="11"/>
  <c r="Q42" i="11"/>
  <c r="Q35" i="11"/>
  <c r="U36" i="11"/>
  <c r="U37" i="11"/>
  <c r="U38" i="11"/>
  <c r="U39" i="11"/>
  <c r="U40" i="11"/>
  <c r="U41" i="11"/>
  <c r="U42" i="11"/>
  <c r="U35" i="11"/>
  <c r="M36" i="11"/>
  <c r="V36" i="11" s="1"/>
  <c r="I36" i="11" s="1"/>
  <c r="J36" i="11" s="1"/>
  <c r="C42" i="12" s="1"/>
  <c r="M35" i="11"/>
  <c r="P35" i="11" s="1"/>
  <c r="K46" i="11"/>
  <c r="L46" i="11"/>
  <c r="I45" i="11"/>
  <c r="I44" i="11"/>
  <c r="I31" i="11"/>
  <c r="I32" i="11"/>
  <c r="I33" i="11"/>
  <c r="I34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20" i="11"/>
  <c r="I21" i="11"/>
  <c r="I22" i="11"/>
  <c r="H43" i="11"/>
  <c r="H42" i="11"/>
  <c r="H41" i="11"/>
  <c r="H40" i="11"/>
  <c r="H39" i="11"/>
  <c r="P39" i="11" s="1"/>
  <c r="H38" i="11"/>
  <c r="H37" i="11"/>
  <c r="G34" i="11"/>
  <c r="G33" i="11"/>
  <c r="G32" i="11"/>
  <c r="G31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V40" i="11" l="1"/>
  <c r="I40" i="11" s="1"/>
  <c r="J40" i="11" s="1"/>
  <c r="C7" i="12" s="1"/>
  <c r="D45" i="12"/>
  <c r="V41" i="11"/>
  <c r="I41" i="11" s="1"/>
  <c r="J41" i="11" s="1"/>
  <c r="C8" i="12" s="1"/>
  <c r="V38" i="11"/>
  <c r="I38" i="11" s="1"/>
  <c r="J38" i="11" s="1"/>
  <c r="C6" i="12" s="1"/>
  <c r="V42" i="11"/>
  <c r="I42" i="11" s="1"/>
  <c r="J42" i="11" s="1"/>
  <c r="C5" i="12" s="1"/>
  <c r="V35" i="11"/>
  <c r="I35" i="11" s="1"/>
  <c r="J35" i="11" s="1"/>
  <c r="C41" i="12" s="1"/>
  <c r="V39" i="11"/>
  <c r="I39" i="11" s="1"/>
  <c r="J39" i="11" s="1"/>
  <c r="C4" i="12" s="1"/>
  <c r="P41" i="11"/>
  <c r="P38" i="11"/>
  <c r="P40" i="11"/>
  <c r="P36" i="11"/>
  <c r="P42" i="11"/>
  <c r="C63" i="3" l="1"/>
  <c r="D63" i="3"/>
  <c r="G35" i="8" s="1"/>
  <c r="D53" i="11" s="1"/>
  <c r="C52" i="12" s="1"/>
  <c r="C62" i="3"/>
  <c r="D62" i="3"/>
  <c r="G34" i="8" s="1"/>
  <c r="D52" i="11" s="1"/>
  <c r="C51" i="12" s="1"/>
  <c r="D61" i="3"/>
  <c r="G33" i="8" s="1"/>
  <c r="D51" i="11" s="1"/>
  <c r="C50" i="12" s="1"/>
  <c r="C61" i="3"/>
  <c r="D42" i="4"/>
  <c r="E42" i="4" l="1"/>
  <c r="E41" i="4"/>
  <c r="E40" i="4"/>
  <c r="C42" i="5" l="1"/>
  <c r="C49" i="5"/>
  <c r="C50" i="5"/>
  <c r="C51" i="5"/>
  <c r="C48" i="5"/>
  <c r="H34" i="8" l="1"/>
  <c r="H33" i="8" s="1"/>
  <c r="D49" i="5"/>
  <c r="E9" i="4"/>
  <c r="E27" i="4"/>
  <c r="E24" i="4"/>
  <c r="E21" i="4"/>
  <c r="E17" i="4"/>
  <c r="H28" i="8" l="1"/>
  <c r="C13" i="5" l="1"/>
  <c r="D51" i="12" l="1"/>
  <c r="D50" i="12" s="1"/>
  <c r="E42" i="12"/>
  <c r="F42" i="12" s="1"/>
  <c r="E41" i="12"/>
  <c r="F41" i="12" s="1"/>
  <c r="E40" i="12"/>
  <c r="F40" i="12" s="1"/>
  <c r="G40" i="12" s="1"/>
  <c r="H40" i="12" s="1"/>
  <c r="I40" i="12" s="1"/>
  <c r="J40" i="12" s="1"/>
  <c r="K40" i="12" s="1"/>
  <c r="L40" i="12" s="1"/>
  <c r="M40" i="12" s="1"/>
  <c r="N40" i="12" s="1"/>
  <c r="O40" i="12" s="1"/>
  <c r="P40" i="12" s="1"/>
  <c r="E39" i="12"/>
  <c r="F39" i="12" s="1"/>
  <c r="G39" i="12" s="1"/>
  <c r="H39" i="12" s="1"/>
  <c r="I39" i="12" s="1"/>
  <c r="J39" i="12" s="1"/>
  <c r="K39" i="12" s="1"/>
  <c r="L39" i="12" s="1"/>
  <c r="M39" i="12" s="1"/>
  <c r="N39" i="12" s="1"/>
  <c r="O39" i="12" s="1"/>
  <c r="P39" i="12" s="1"/>
  <c r="E38" i="12"/>
  <c r="F38" i="12" s="1"/>
  <c r="E37" i="12"/>
  <c r="F37" i="12" s="1"/>
  <c r="E36" i="12"/>
  <c r="F36" i="12" s="1"/>
  <c r="E35" i="12"/>
  <c r="F35" i="12" s="1"/>
  <c r="G35" i="12" s="1"/>
  <c r="H35" i="12" s="1"/>
  <c r="I35" i="12" s="1"/>
  <c r="J35" i="12" s="1"/>
  <c r="K35" i="12" s="1"/>
  <c r="L35" i="12" s="1"/>
  <c r="M35" i="12" s="1"/>
  <c r="N35" i="12" s="1"/>
  <c r="O35" i="12" s="1"/>
  <c r="P35" i="12" s="1"/>
  <c r="E34" i="12"/>
  <c r="F34" i="12" s="1"/>
  <c r="E33" i="12"/>
  <c r="F33" i="12" s="1"/>
  <c r="E32" i="12"/>
  <c r="F32" i="12" s="1"/>
  <c r="E31" i="12"/>
  <c r="F31" i="12" s="1"/>
  <c r="G31" i="12" s="1"/>
  <c r="E30" i="12"/>
  <c r="F30" i="12" s="1"/>
  <c r="E29" i="12"/>
  <c r="F29" i="12" s="1"/>
  <c r="E28" i="12"/>
  <c r="F28" i="12" s="1"/>
  <c r="G28" i="12" s="1"/>
  <c r="H28" i="12" s="1"/>
  <c r="I28" i="12" s="1"/>
  <c r="J28" i="12" s="1"/>
  <c r="K28" i="12" s="1"/>
  <c r="L28" i="12" s="1"/>
  <c r="M28" i="12" s="1"/>
  <c r="N28" i="12" s="1"/>
  <c r="O28" i="12" s="1"/>
  <c r="P28" i="12" s="1"/>
  <c r="E27" i="12"/>
  <c r="F27" i="12" s="1"/>
  <c r="G27" i="12" s="1"/>
  <c r="H27" i="12" s="1"/>
  <c r="I27" i="12" s="1"/>
  <c r="J27" i="12" s="1"/>
  <c r="K27" i="12" s="1"/>
  <c r="L27" i="12" s="1"/>
  <c r="M27" i="12" s="1"/>
  <c r="N27" i="12" s="1"/>
  <c r="O27" i="12" s="1"/>
  <c r="P27" i="12" s="1"/>
  <c r="E26" i="12"/>
  <c r="F26" i="12" s="1"/>
  <c r="E25" i="12"/>
  <c r="F25" i="12" s="1"/>
  <c r="G25" i="12" s="1"/>
  <c r="H25" i="12" s="1"/>
  <c r="I25" i="12" s="1"/>
  <c r="J25" i="12" s="1"/>
  <c r="K25" i="12" s="1"/>
  <c r="L25" i="12" s="1"/>
  <c r="M25" i="12" s="1"/>
  <c r="N25" i="12" s="1"/>
  <c r="O25" i="12" s="1"/>
  <c r="P25" i="12" s="1"/>
  <c r="E24" i="12"/>
  <c r="F24" i="12" s="1"/>
  <c r="G24" i="12" s="1"/>
  <c r="H24" i="12" s="1"/>
  <c r="I24" i="12" s="1"/>
  <c r="J24" i="12" s="1"/>
  <c r="K24" i="12" s="1"/>
  <c r="L24" i="12" s="1"/>
  <c r="M24" i="12" s="1"/>
  <c r="N24" i="12" s="1"/>
  <c r="O24" i="12" s="1"/>
  <c r="P24" i="12" s="1"/>
  <c r="E23" i="12"/>
  <c r="F23" i="12" s="1"/>
  <c r="G23" i="12" s="1"/>
  <c r="E52" i="11"/>
  <c r="E51" i="11" l="1"/>
  <c r="D46" i="12"/>
  <c r="G32" i="12"/>
  <c r="H32" i="12" s="1"/>
  <c r="I32" i="12" s="1"/>
  <c r="J32" i="12" s="1"/>
  <c r="K32" i="12" s="1"/>
  <c r="L32" i="12" s="1"/>
  <c r="M32" i="12" s="1"/>
  <c r="N32" i="12" s="1"/>
  <c r="O32" i="12" s="1"/>
  <c r="P32" i="12" s="1"/>
  <c r="G30" i="12"/>
  <c r="H30" i="12" s="1"/>
  <c r="I30" i="12" s="1"/>
  <c r="J30" i="12" s="1"/>
  <c r="K30" i="12" s="1"/>
  <c r="L30" i="12" s="1"/>
  <c r="M30" i="12" s="1"/>
  <c r="N30" i="12" s="1"/>
  <c r="O30" i="12" s="1"/>
  <c r="P30" i="12" s="1"/>
  <c r="G42" i="12"/>
  <c r="H42" i="12" s="1"/>
  <c r="I42" i="12" s="1"/>
  <c r="J42" i="12" s="1"/>
  <c r="K42" i="12" s="1"/>
  <c r="L42" i="12" s="1"/>
  <c r="M42" i="12" s="1"/>
  <c r="N42" i="12" s="1"/>
  <c r="O42" i="12" s="1"/>
  <c r="P42" i="12" s="1"/>
  <c r="Q24" i="12"/>
  <c r="R24" i="12" s="1"/>
  <c r="H23" i="12"/>
  <c r="I23" i="12" s="1"/>
  <c r="J23" i="12" s="1"/>
  <c r="K23" i="12" s="1"/>
  <c r="L23" i="12" s="1"/>
  <c r="H31" i="12"/>
  <c r="I31" i="12" s="1"/>
  <c r="J31" i="12" s="1"/>
  <c r="K31" i="12" s="1"/>
  <c r="L31" i="12" s="1"/>
  <c r="M31" i="12" s="1"/>
  <c r="N31" i="12" s="1"/>
  <c r="O31" i="12" s="1"/>
  <c r="P31" i="12" s="1"/>
  <c r="G41" i="12"/>
  <c r="H41" i="12" s="1"/>
  <c r="I41" i="12" s="1"/>
  <c r="J41" i="12" s="1"/>
  <c r="K41" i="12" s="1"/>
  <c r="L41" i="12" s="1"/>
  <c r="M41" i="12" s="1"/>
  <c r="N41" i="12" s="1"/>
  <c r="O41" i="12" s="1"/>
  <c r="P41" i="12" s="1"/>
  <c r="G37" i="12"/>
  <c r="H37" i="12" s="1"/>
  <c r="I37" i="12" s="1"/>
  <c r="J37" i="12" s="1"/>
  <c r="K37" i="12" s="1"/>
  <c r="L37" i="12" s="1"/>
  <c r="M37" i="12" s="1"/>
  <c r="N37" i="12" s="1"/>
  <c r="O37" i="12" s="1"/>
  <c r="P37" i="12" s="1"/>
  <c r="G33" i="12"/>
  <c r="H33" i="12" s="1"/>
  <c r="I33" i="12" s="1"/>
  <c r="J33" i="12" s="1"/>
  <c r="K33" i="12" s="1"/>
  <c r="L33" i="12" s="1"/>
  <c r="M33" i="12" s="1"/>
  <c r="N33" i="12" s="1"/>
  <c r="O33" i="12" s="1"/>
  <c r="P33" i="12" s="1"/>
  <c r="Q39" i="12"/>
  <c r="R39" i="12" s="1"/>
  <c r="G36" i="12"/>
  <c r="H36" i="12" s="1"/>
  <c r="I36" i="12" s="1"/>
  <c r="J36" i="12" s="1"/>
  <c r="K36" i="12" s="1"/>
  <c r="L36" i="12" s="1"/>
  <c r="M36" i="12" s="1"/>
  <c r="N36" i="12" s="1"/>
  <c r="O36" i="12" s="1"/>
  <c r="P36" i="12" s="1"/>
  <c r="Q28" i="12"/>
  <c r="R28" i="12" s="1"/>
  <c r="Q40" i="12"/>
  <c r="R40" i="12" s="1"/>
  <c r="G29" i="12"/>
  <c r="H29" i="12" s="1"/>
  <c r="I29" i="12" s="1"/>
  <c r="J29" i="12" s="1"/>
  <c r="K29" i="12" s="1"/>
  <c r="L29" i="12" s="1"/>
  <c r="Q25" i="12"/>
  <c r="R25" i="12" s="1"/>
  <c r="Q27" i="12"/>
  <c r="R27" i="12" s="1"/>
  <c r="Q35" i="12"/>
  <c r="R35" i="12" s="1"/>
  <c r="G38" i="12"/>
  <c r="H38" i="12" s="1"/>
  <c r="I38" i="12" s="1"/>
  <c r="J38" i="12" s="1"/>
  <c r="K38" i="12" s="1"/>
  <c r="L38" i="12" s="1"/>
  <c r="M38" i="12" s="1"/>
  <c r="N38" i="12" s="1"/>
  <c r="O38" i="12" s="1"/>
  <c r="P38" i="12" s="1"/>
  <c r="G34" i="12"/>
  <c r="H34" i="12" s="1"/>
  <c r="I34" i="12" s="1"/>
  <c r="J34" i="12" s="1"/>
  <c r="K34" i="12" s="1"/>
  <c r="L34" i="12" s="1"/>
  <c r="M34" i="12" s="1"/>
  <c r="N34" i="12" s="1"/>
  <c r="O34" i="12" s="1"/>
  <c r="P34" i="12" s="1"/>
  <c r="G26" i="12"/>
  <c r="H26" i="12" s="1"/>
  <c r="I26" i="12" s="1"/>
  <c r="J26" i="12" s="1"/>
  <c r="K26" i="12" s="1"/>
  <c r="L26" i="12" s="1"/>
  <c r="M26" i="12" s="1"/>
  <c r="N26" i="12" s="1"/>
  <c r="O26" i="12" s="1"/>
  <c r="P26" i="12" s="1"/>
  <c r="M23" i="12" l="1"/>
  <c r="Q34" i="12"/>
  <c r="R34" i="12" s="1"/>
  <c r="Q36" i="12"/>
  <c r="R36" i="12" s="1"/>
  <c r="Q29" i="12"/>
  <c r="R29" i="12" s="1"/>
  <c r="Q30" i="12"/>
  <c r="R30" i="12" s="1"/>
  <c r="Q38" i="12"/>
  <c r="R38" i="12" s="1"/>
  <c r="Q42" i="12"/>
  <c r="R42" i="12" s="1"/>
  <c r="Q32" i="12"/>
  <c r="R32" i="12" s="1"/>
  <c r="Q41" i="12"/>
  <c r="R41" i="12" s="1"/>
  <c r="Q33" i="12"/>
  <c r="R33" i="12" s="1"/>
  <c r="Q26" i="12"/>
  <c r="R26" i="12" s="1"/>
  <c r="Q31" i="12"/>
  <c r="R31" i="12" s="1"/>
  <c r="Q37" i="12"/>
  <c r="R37" i="12" s="1"/>
  <c r="N23" i="12" l="1"/>
  <c r="O23" i="12" l="1"/>
  <c r="P23" i="12" l="1"/>
  <c r="Q23" i="12" l="1"/>
  <c r="R23" i="12" s="1"/>
  <c r="N69" i="11" l="1"/>
  <c r="O43" i="11"/>
  <c r="S43" i="11"/>
  <c r="N6" i="11"/>
  <c r="N7" i="11"/>
  <c r="N8" i="11"/>
  <c r="O8" i="11" s="1"/>
  <c r="N9" i="11"/>
  <c r="O9" i="11" s="1"/>
  <c r="N10" i="11"/>
  <c r="O10" i="11" s="1"/>
  <c r="N11" i="11"/>
  <c r="O11" i="11" s="1"/>
  <c r="N12" i="11"/>
  <c r="O12" i="11" s="1"/>
  <c r="N13" i="11"/>
  <c r="O13" i="11" s="1"/>
  <c r="N14" i="11"/>
  <c r="O14" i="11" s="1"/>
  <c r="N15" i="11"/>
  <c r="O15" i="11" s="1"/>
  <c r="N16" i="11"/>
  <c r="O16" i="11" s="1"/>
  <c r="N17" i="11"/>
  <c r="O17" i="11" s="1"/>
  <c r="N18" i="11"/>
  <c r="O18" i="11" s="1"/>
  <c r="N19" i="11"/>
  <c r="O19" i="11" s="1"/>
  <c r="N20" i="11"/>
  <c r="O20" i="11" s="1"/>
  <c r="N21" i="11"/>
  <c r="O21" i="11" s="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8" i="11"/>
  <c r="O39" i="11"/>
  <c r="O40" i="11"/>
  <c r="O41" i="11"/>
  <c r="O42" i="11"/>
  <c r="K54" i="11" l="1"/>
  <c r="D18" i="5" s="1"/>
  <c r="Q49" i="11"/>
  <c r="R49" i="11" s="1"/>
  <c r="O7" i="11"/>
  <c r="K53" i="11"/>
  <c r="D17" i="5" s="1"/>
  <c r="D51" i="5" s="1"/>
  <c r="Q48" i="11"/>
  <c r="R48" i="11" s="1"/>
  <c r="O6" i="11"/>
  <c r="K52" i="11"/>
  <c r="D16" i="5" s="1"/>
  <c r="D50" i="5" s="1"/>
  <c r="Q47" i="11"/>
  <c r="R47" i="11" s="1"/>
  <c r="D35" i="5"/>
  <c r="B2" i="13"/>
  <c r="C32" i="3"/>
  <c r="E63" i="3"/>
  <c r="E62" i="3"/>
  <c r="E61" i="3"/>
  <c r="F68" i="5" l="1"/>
  <c r="G70" i="5" s="1"/>
  <c r="E72" i="5" s="1"/>
  <c r="E4" i="8"/>
  <c r="E5" i="8"/>
  <c r="E6" i="8"/>
  <c r="E7" i="8"/>
  <c r="E8" i="8"/>
  <c r="E9" i="8"/>
  <c r="E10" i="8"/>
  <c r="E11" i="8"/>
  <c r="E12" i="8"/>
  <c r="E13" i="8"/>
  <c r="E14" i="8"/>
  <c r="E17" i="8" l="1"/>
  <c r="E67" i="5"/>
  <c r="E20" i="12"/>
  <c r="E19" i="12"/>
  <c r="E18" i="12"/>
  <c r="E17" i="12"/>
  <c r="E16" i="12"/>
  <c r="E15" i="12"/>
  <c r="E14" i="12"/>
  <c r="E13" i="12"/>
  <c r="E9" i="12"/>
  <c r="D66" i="5"/>
  <c r="E22" i="12"/>
  <c r="E12" i="12"/>
  <c r="E11" i="12"/>
  <c r="E10" i="12"/>
  <c r="E5" i="12"/>
  <c r="E6" i="12"/>
  <c r="E7" i="12"/>
  <c r="E8" i="12"/>
  <c r="E4" i="12"/>
  <c r="F8" i="12" l="1"/>
  <c r="G8" i="12" s="1"/>
  <c r="H8" i="12" s="1"/>
  <c r="I8" i="12" s="1"/>
  <c r="J8" i="12" s="1"/>
  <c r="K8" i="12" s="1"/>
  <c r="L8" i="12" s="1"/>
  <c r="M8" i="12" s="1"/>
  <c r="N8" i="12" s="1"/>
  <c r="F7" i="12"/>
  <c r="G7" i="12" s="1"/>
  <c r="H7" i="12" s="1"/>
  <c r="I7" i="12" s="1"/>
  <c r="J7" i="12" s="1"/>
  <c r="K7" i="12" s="1"/>
  <c r="L7" i="12" s="1"/>
  <c r="M7" i="12" s="1"/>
  <c r="N7" i="12" s="1"/>
  <c r="F4" i="12"/>
  <c r="F5" i="12"/>
  <c r="G5" i="12" s="1"/>
  <c r="H5" i="12" s="1"/>
  <c r="I5" i="12" s="1"/>
  <c r="J5" i="12" s="1"/>
  <c r="K5" i="12" s="1"/>
  <c r="L5" i="12" s="1"/>
  <c r="M5" i="12" s="1"/>
  <c r="N5" i="12" s="1"/>
  <c r="F6" i="12"/>
  <c r="G6" i="12" s="1"/>
  <c r="H6" i="12" s="1"/>
  <c r="I6" i="12" s="1"/>
  <c r="J6" i="12" s="1"/>
  <c r="K6" i="12" s="1"/>
  <c r="L6" i="12" s="1"/>
  <c r="M6" i="12" s="1"/>
  <c r="N6" i="12" s="1"/>
  <c r="F22" i="12"/>
  <c r="G22" i="12" s="1"/>
  <c r="F19" i="12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F20" i="12"/>
  <c r="G20" i="12" s="1"/>
  <c r="H20" i="12" s="1"/>
  <c r="I20" i="12" s="1"/>
  <c r="J20" i="12" s="1"/>
  <c r="K20" i="12" s="1"/>
  <c r="L20" i="12" s="1"/>
  <c r="M20" i="12" s="1"/>
  <c r="N20" i="12" s="1"/>
  <c r="O20" i="12" s="1"/>
  <c r="P20" i="12" s="1"/>
  <c r="F17" i="12"/>
  <c r="G17" i="12" s="1"/>
  <c r="H17" i="12" s="1"/>
  <c r="I17" i="12" s="1"/>
  <c r="J17" i="12" s="1"/>
  <c r="K17" i="12" s="1"/>
  <c r="L17" i="12" s="1"/>
  <c r="M17" i="12" s="1"/>
  <c r="N17" i="12" s="1"/>
  <c r="O17" i="12" s="1"/>
  <c r="P17" i="12" s="1"/>
  <c r="F18" i="12"/>
  <c r="G18" i="12" s="1"/>
  <c r="H18" i="12" s="1"/>
  <c r="I18" i="12" s="1"/>
  <c r="J18" i="12" s="1"/>
  <c r="K18" i="12" s="1"/>
  <c r="L18" i="12" s="1"/>
  <c r="M18" i="12" s="1"/>
  <c r="N18" i="12" s="1"/>
  <c r="O18" i="12" s="1"/>
  <c r="P18" i="12" s="1"/>
  <c r="F15" i="12"/>
  <c r="G15" i="12" s="1"/>
  <c r="H15" i="12" s="1"/>
  <c r="I15" i="12" s="1"/>
  <c r="J15" i="12" s="1"/>
  <c r="K15" i="12" s="1"/>
  <c r="L15" i="12" s="1"/>
  <c r="M15" i="12" s="1"/>
  <c r="N15" i="12" s="1"/>
  <c r="O15" i="12" s="1"/>
  <c r="P15" i="12" s="1"/>
  <c r="F10" i="12"/>
  <c r="G10" i="12" s="1"/>
  <c r="H10" i="12" s="1"/>
  <c r="I10" i="12" s="1"/>
  <c r="J10" i="12" s="1"/>
  <c r="K10" i="12" s="1"/>
  <c r="L10" i="12" s="1"/>
  <c r="M10" i="12" s="1"/>
  <c r="N10" i="12" s="1"/>
  <c r="O10" i="12" s="1"/>
  <c r="P10" i="12" s="1"/>
  <c r="F14" i="12"/>
  <c r="G14" i="12" s="1"/>
  <c r="H14" i="12" s="1"/>
  <c r="I14" i="12" s="1"/>
  <c r="J14" i="12" s="1"/>
  <c r="K14" i="12" s="1"/>
  <c r="L14" i="12" s="1"/>
  <c r="M14" i="12" s="1"/>
  <c r="N14" i="12" s="1"/>
  <c r="O14" i="12" s="1"/>
  <c r="P14" i="12" s="1"/>
  <c r="F11" i="12"/>
  <c r="G11" i="12" s="1"/>
  <c r="H11" i="12" s="1"/>
  <c r="I11" i="12" s="1"/>
  <c r="J11" i="12" s="1"/>
  <c r="K11" i="12" s="1"/>
  <c r="L11" i="12" s="1"/>
  <c r="M11" i="12" s="1"/>
  <c r="N11" i="12" s="1"/>
  <c r="O11" i="12" s="1"/>
  <c r="P11" i="12" s="1"/>
  <c r="F12" i="12"/>
  <c r="G12" i="12" s="1"/>
  <c r="H12" i="12" s="1"/>
  <c r="I12" i="12" s="1"/>
  <c r="J12" i="12" s="1"/>
  <c r="K12" i="12" s="1"/>
  <c r="L12" i="12" s="1"/>
  <c r="M12" i="12" s="1"/>
  <c r="N12" i="12" s="1"/>
  <c r="O12" i="12" s="1"/>
  <c r="P12" i="12" s="1"/>
  <c r="F9" i="12"/>
  <c r="G9" i="12" s="1"/>
  <c r="H9" i="12" s="1"/>
  <c r="I9" i="12" s="1"/>
  <c r="J9" i="12" s="1"/>
  <c r="K9" i="12" s="1"/>
  <c r="L9" i="12" s="1"/>
  <c r="M9" i="12" s="1"/>
  <c r="N9" i="12" s="1"/>
  <c r="O9" i="12" s="1"/>
  <c r="P9" i="12" s="1"/>
  <c r="F16" i="12"/>
  <c r="G16" i="12" s="1"/>
  <c r="H16" i="12" s="1"/>
  <c r="I16" i="12" s="1"/>
  <c r="J16" i="12" s="1"/>
  <c r="K16" i="12" s="1"/>
  <c r="L16" i="12" s="1"/>
  <c r="M16" i="12" s="1"/>
  <c r="N16" i="12" s="1"/>
  <c r="O16" i="12" s="1"/>
  <c r="P16" i="12" s="1"/>
  <c r="F13" i="12"/>
  <c r="G13" i="12" s="1"/>
  <c r="H13" i="12" s="1"/>
  <c r="I13" i="12" s="1"/>
  <c r="J13" i="12" s="1"/>
  <c r="K13" i="12" s="1"/>
  <c r="L13" i="12" s="1"/>
  <c r="M13" i="12" s="1"/>
  <c r="N13" i="12" s="1"/>
  <c r="O13" i="12" s="1"/>
  <c r="P13" i="12" s="1"/>
  <c r="Q7" i="12" l="1"/>
  <c r="G4" i="12"/>
  <c r="Q8" i="12"/>
  <c r="R8" i="12" s="1"/>
  <c r="Q5" i="12"/>
  <c r="Q15" i="12"/>
  <c r="R15" i="12" s="1"/>
  <c r="H22" i="12"/>
  <c r="Q20" i="12"/>
  <c r="R20" i="12" s="1"/>
  <c r="Q6" i="12"/>
  <c r="Q18" i="12"/>
  <c r="R18" i="12" s="1"/>
  <c r="Q17" i="12"/>
  <c r="Q16" i="12"/>
  <c r="Q11" i="12"/>
  <c r="Q14" i="12"/>
  <c r="R14" i="12" s="1"/>
  <c r="Q13" i="12"/>
  <c r="R13" i="12" s="1"/>
  <c r="Q9" i="12"/>
  <c r="Q10" i="12"/>
  <c r="Q12" i="12"/>
  <c r="R12" i="12" s="1"/>
  <c r="Q19" i="12"/>
  <c r="H4" i="12" l="1"/>
  <c r="I22" i="12"/>
  <c r="R19" i="12"/>
  <c r="R17" i="12"/>
  <c r="R10" i="12"/>
  <c r="R11" i="12"/>
  <c r="R16" i="12"/>
  <c r="K64" i="11"/>
  <c r="K65" i="11" s="1"/>
  <c r="K66" i="11" s="1"/>
  <c r="D43" i="11"/>
  <c r="I43" i="11" s="1"/>
  <c r="D37" i="11"/>
  <c r="Q37" i="11" s="1"/>
  <c r="D19" i="11"/>
  <c r="I19" i="11" s="1"/>
  <c r="D5" i="11"/>
  <c r="I5" i="11" s="1"/>
  <c r="D30" i="11"/>
  <c r="I30" i="11" s="1"/>
  <c r="D29" i="11"/>
  <c r="I29" i="11" s="1"/>
  <c r="D28" i="11"/>
  <c r="I28" i="11" s="1"/>
  <c r="D27" i="11"/>
  <c r="I27" i="11" s="1"/>
  <c r="D26" i="11"/>
  <c r="I26" i="11" s="1"/>
  <c r="D25" i="11"/>
  <c r="I25" i="11" s="1"/>
  <c r="D24" i="11"/>
  <c r="I24" i="11" s="1"/>
  <c r="D23" i="11"/>
  <c r="I23" i="11" s="1"/>
  <c r="I4" i="12" l="1"/>
  <c r="M37" i="11"/>
  <c r="P37" i="11"/>
  <c r="J22" i="12"/>
  <c r="D46" i="11"/>
  <c r="K69" i="11"/>
  <c r="K70" i="11" s="1"/>
  <c r="K71" i="11" s="1"/>
  <c r="N5" i="11"/>
  <c r="N46" i="11" s="1"/>
  <c r="K73" i="11"/>
  <c r="K74" i="11" s="1"/>
  <c r="K75" i="11" s="1"/>
  <c r="M64" i="11"/>
  <c r="F25" i="8"/>
  <c r="F26" i="8"/>
  <c r="F24" i="8"/>
  <c r="J4" i="12" l="1"/>
  <c r="M46" i="11"/>
  <c r="M47" i="11" s="1"/>
  <c r="V37" i="11"/>
  <c r="I37" i="11" s="1"/>
  <c r="K22" i="12"/>
  <c r="Q46" i="11"/>
  <c r="R46" i="11" s="1"/>
  <c r="K51" i="11"/>
  <c r="D14" i="5" s="1"/>
  <c r="D48" i="5" s="1"/>
  <c r="O5" i="11"/>
  <c r="N47" i="11"/>
  <c r="D13" i="5" s="1"/>
  <c r="K4" i="12" l="1"/>
  <c r="J37" i="11"/>
  <c r="C21" i="12" s="1"/>
  <c r="I46" i="11"/>
  <c r="Q22" i="12"/>
  <c r="D20" i="3"/>
  <c r="C45" i="12" l="1"/>
  <c r="C46" i="12" s="1"/>
  <c r="E21" i="12"/>
  <c r="L4" i="12"/>
  <c r="J46" i="11"/>
  <c r="J47" i="11" s="1"/>
  <c r="O37" i="11"/>
  <c r="R22" i="12"/>
  <c r="E45" i="12" l="1"/>
  <c r="E46" i="12" s="1"/>
  <c r="F21" i="12"/>
  <c r="M4" i="12"/>
  <c r="R9" i="12"/>
  <c r="G21" i="12" l="1"/>
  <c r="F45" i="12"/>
  <c r="F46" i="12" s="1"/>
  <c r="N4" i="12"/>
  <c r="E27" i="8"/>
  <c r="H21" i="12" l="1"/>
  <c r="G45" i="12"/>
  <c r="G46" i="12" s="1"/>
  <c r="G25" i="8"/>
  <c r="H25" i="8" s="1"/>
  <c r="G26" i="8"/>
  <c r="H26" i="8" s="1"/>
  <c r="G24" i="8"/>
  <c r="H24" i="8" s="1"/>
  <c r="I21" i="12" l="1"/>
  <c r="H45" i="12"/>
  <c r="H46" i="12" s="1"/>
  <c r="H27" i="8"/>
  <c r="D41" i="3" s="1"/>
  <c r="G27" i="8"/>
  <c r="J21" i="12" l="1"/>
  <c r="I45" i="12"/>
  <c r="I46" i="12" s="1"/>
  <c r="Q4" i="12"/>
  <c r="D14" i="3"/>
  <c r="K21" i="12" l="1"/>
  <c r="J45" i="12"/>
  <c r="J46" i="12" s="1"/>
  <c r="C40" i="5"/>
  <c r="C41" i="5"/>
  <c r="C36" i="5"/>
  <c r="C37" i="5"/>
  <c r="C38" i="5"/>
  <c r="D38" i="5"/>
  <c r="C39" i="5"/>
  <c r="C22" i="5"/>
  <c r="C20" i="5"/>
  <c r="D40" i="5"/>
  <c r="L21" i="12" l="1"/>
  <c r="K45" i="12"/>
  <c r="K46" i="12" s="1"/>
  <c r="D22" i="5"/>
  <c r="D37" i="5"/>
  <c r="D36" i="5"/>
  <c r="M21" i="12" l="1"/>
  <c r="L45" i="12"/>
  <c r="L46" i="12" s="1"/>
  <c r="D20" i="5"/>
  <c r="D12" i="5" s="1"/>
  <c r="D39" i="5"/>
  <c r="N21" i="12" l="1"/>
  <c r="M45" i="12"/>
  <c r="M46" i="12" s="1"/>
  <c r="D44" i="3"/>
  <c r="E13" i="4"/>
  <c r="O21" i="12" l="1"/>
  <c r="N45" i="12"/>
  <c r="N46" i="12" s="1"/>
  <c r="C14" i="3"/>
  <c r="P21" i="12" l="1"/>
  <c r="O45" i="12"/>
  <c r="O46" i="12" s="1"/>
  <c r="C35" i="5"/>
  <c r="D23" i="5"/>
  <c r="D55" i="5" s="1"/>
  <c r="C44" i="3"/>
  <c r="P45" i="12" l="1"/>
  <c r="P46" i="12" s="1"/>
  <c r="Q21" i="12"/>
  <c r="D41" i="5"/>
  <c r="C23" i="5"/>
  <c r="R21" i="12" l="1"/>
  <c r="R45" i="12" s="1"/>
  <c r="R46" i="12" s="1"/>
  <c r="D31" i="3" s="1"/>
  <c r="D42" i="5" s="1"/>
  <c r="D34" i="5" s="1"/>
  <c r="Q45" i="12"/>
  <c r="Q46" i="12" s="1"/>
  <c r="D54" i="5"/>
  <c r="C55" i="5"/>
  <c r="C11" i="5" l="1"/>
  <c r="C12" i="5" l="1"/>
  <c r="D16" i="4" l="1"/>
  <c r="D22" i="4" s="1"/>
  <c r="D25" i="4" l="1"/>
  <c r="D28" i="4"/>
  <c r="D18" i="4"/>
  <c r="D31" i="4" l="1"/>
  <c r="D32" i="4" s="1"/>
  <c r="D36" i="4" s="1"/>
  <c r="C16" i="3" s="1"/>
  <c r="C43" i="3" s="1"/>
  <c r="C72" i="3" s="1"/>
  <c r="F18" i="3" l="1"/>
  <c r="G18" i="3" s="1"/>
  <c r="C9" i="5"/>
  <c r="C46" i="5" s="1"/>
  <c r="C53" i="5" s="1"/>
  <c r="C52" i="3"/>
  <c r="C49" i="3"/>
  <c r="E16" i="4"/>
  <c r="E28" i="4" s="1"/>
  <c r="D65" i="5" l="1"/>
  <c r="D67" i="5" s="1"/>
  <c r="E25" i="4"/>
  <c r="E18" i="4"/>
  <c r="E22" i="4"/>
  <c r="E31" i="4" l="1"/>
  <c r="E32" i="4" s="1"/>
  <c r="E36" i="4" s="1"/>
  <c r="D16" i="3" s="1"/>
  <c r="D18" i="3" l="1"/>
  <c r="D11" i="5" s="1"/>
  <c r="D9" i="5"/>
  <c r="D43" i="3" l="1"/>
  <c r="D49" i="3" s="1"/>
  <c r="D52" i="3" s="1"/>
  <c r="D46" i="5"/>
  <c r="D53" i="5" s="1"/>
</calcChain>
</file>

<file path=xl/comments1.xml><?xml version="1.0" encoding="utf-8"?>
<comments xmlns="http://schemas.openxmlformats.org/spreadsheetml/2006/main">
  <authors>
    <author>Kosarev</author>
  </authors>
  <commentList>
    <comment ref="R4" authorId="0">
      <text>
        <r>
          <rPr>
            <b/>
            <sz val="8"/>
            <color indexed="81"/>
            <rFont val="Tahoma"/>
            <family val="2"/>
            <charset val="204"/>
          </rPr>
          <t>Kosarev:</t>
        </r>
        <r>
          <rPr>
            <sz val="8"/>
            <color indexed="81"/>
            <rFont val="Tahoma"/>
            <family val="2"/>
            <charset val="204"/>
          </rPr>
          <t xml:space="preserve">
движимое имущество - налог не начисляется</t>
        </r>
      </text>
    </comment>
  </commentList>
</comments>
</file>

<file path=xl/sharedStrings.xml><?xml version="1.0" encoding="utf-8"?>
<sst xmlns="http://schemas.openxmlformats.org/spreadsheetml/2006/main" count="757" uniqueCount="449">
  <si>
    <t>тыс. руб.</t>
  </si>
  <si>
    <t xml:space="preserve">п.п.  </t>
  </si>
  <si>
    <t xml:space="preserve">Наименование показателя         </t>
  </si>
  <si>
    <t xml:space="preserve">Сырье, основные материалы               </t>
  </si>
  <si>
    <t xml:space="preserve">Вспомогательные материалы               </t>
  </si>
  <si>
    <t xml:space="preserve">из них на ремонт                        </t>
  </si>
  <si>
    <t xml:space="preserve">Энергия                                 </t>
  </si>
  <si>
    <t xml:space="preserve">5.1.   </t>
  </si>
  <si>
    <t xml:space="preserve">Затраты на оплату труда                 </t>
  </si>
  <si>
    <t xml:space="preserve">Отчисления на социальные нужды          </t>
  </si>
  <si>
    <t xml:space="preserve">Амортизация основных средств            </t>
  </si>
  <si>
    <t xml:space="preserve">Прочие затраты всего, в том числе:      </t>
  </si>
  <si>
    <t xml:space="preserve">9.1.   </t>
  </si>
  <si>
    <t xml:space="preserve">Целевые средства на НИОКР               </t>
  </si>
  <si>
    <t xml:space="preserve">9.2.   </t>
  </si>
  <si>
    <t xml:space="preserve">Средства на страхование                 </t>
  </si>
  <si>
    <t xml:space="preserve">9.3.   </t>
  </si>
  <si>
    <t xml:space="preserve">9.4.   </t>
  </si>
  <si>
    <t xml:space="preserve">9.5.   </t>
  </si>
  <si>
    <t xml:space="preserve">9.6.   </t>
  </si>
  <si>
    <t xml:space="preserve">Водный налог (ГЭС)                      </t>
  </si>
  <si>
    <t xml:space="preserve">9.7.   </t>
  </si>
  <si>
    <t>9.7.1.</t>
  </si>
  <si>
    <t xml:space="preserve">Налог на землю                          </t>
  </si>
  <si>
    <t>9.7.2.</t>
  </si>
  <si>
    <t xml:space="preserve">Налог на пользователей автодорог        </t>
  </si>
  <si>
    <t xml:space="preserve">9.8.   </t>
  </si>
  <si>
    <t>9.8.1.</t>
  </si>
  <si>
    <t xml:space="preserve">Арендная плата                          </t>
  </si>
  <si>
    <t xml:space="preserve">Итого расходов                          </t>
  </si>
  <si>
    <t xml:space="preserve">в том числе:                            </t>
  </si>
  <si>
    <t xml:space="preserve">13.1.  </t>
  </si>
  <si>
    <t xml:space="preserve">- электрическая энергия                 </t>
  </si>
  <si>
    <t>13.1.1.</t>
  </si>
  <si>
    <t xml:space="preserve">производство электроэнергии             </t>
  </si>
  <si>
    <t>13.1.2.</t>
  </si>
  <si>
    <t xml:space="preserve">покупная электроэнергия                 </t>
  </si>
  <si>
    <t>13.1.3.</t>
  </si>
  <si>
    <t xml:space="preserve">передача электроэнергии                 </t>
  </si>
  <si>
    <t xml:space="preserve">13.2.  </t>
  </si>
  <si>
    <t xml:space="preserve">- тепловая энергия                      </t>
  </si>
  <si>
    <t>13.2.1.</t>
  </si>
  <si>
    <t xml:space="preserve">производство теплоэнергии               </t>
  </si>
  <si>
    <t>13.2.2.</t>
  </si>
  <si>
    <t xml:space="preserve">покупная теплоэнергия                   </t>
  </si>
  <si>
    <t>13.2.3.</t>
  </si>
  <si>
    <t xml:space="preserve">передача теплоэнергии                   </t>
  </si>
  <si>
    <t xml:space="preserve">13.3.  </t>
  </si>
  <si>
    <t xml:space="preserve">- прочая продукция                      </t>
  </si>
  <si>
    <t>Работы   и    услуги   производственного характера</t>
  </si>
  <si>
    <t>Плата за  предельно  допустимые  выбросы (сбросы)</t>
  </si>
  <si>
    <t xml:space="preserve">Оплата за услуги по организации функционирования и развитию ЕЭС  России, оперативно-диспетчерскому управлению в электроэнергетике, организации функционирования торговой системы оптового рынка электрической энергии (мощности), передаче электрической энергии по единой национальной (общероссийской) электрической сети   </t>
  </si>
  <si>
    <t>Отчисления  в  ремонтный  фонд (в случае его формирования)</t>
  </si>
  <si>
    <t xml:space="preserve">Непроизводственные  расходы  (налоги и другие обязательные платежи и сборы)    </t>
  </si>
  <si>
    <t>Другие затраты, относимые на себестоимость продукции, всего в т.ч</t>
  </si>
  <si>
    <t>Недополученный по независящим причинам доход</t>
  </si>
  <si>
    <t xml:space="preserve">Избыток средств, полученный в предыдущем периоде регулирования        </t>
  </si>
  <si>
    <t>Расчетные расходы по производству продукции (услуг)</t>
  </si>
  <si>
    <t>тыс.руб.</t>
  </si>
  <si>
    <t>Примечание</t>
  </si>
  <si>
    <t xml:space="preserve">9.10.   </t>
  </si>
  <si>
    <t>9.9.</t>
  </si>
  <si>
    <t>Общепроизводственные расходы</t>
  </si>
  <si>
    <t>Общехозяйственные расходы</t>
  </si>
  <si>
    <t>Капитальный ремонт оборудования</t>
  </si>
  <si>
    <t>Капитальный ремонт зданий и сооружений</t>
  </si>
  <si>
    <t>Текущий ремонт оборудования</t>
  </si>
  <si>
    <t>Текущий ремонт зданий и сооружений</t>
  </si>
  <si>
    <t xml:space="preserve">9.11.   </t>
  </si>
  <si>
    <t xml:space="preserve">9.12.   </t>
  </si>
  <si>
    <t xml:space="preserve">9.13.   </t>
  </si>
  <si>
    <t>9.14.</t>
  </si>
  <si>
    <t>Расходы на обеспечение нормальных условий труда</t>
  </si>
  <si>
    <t>9.15.</t>
  </si>
  <si>
    <t xml:space="preserve">Транспортные расходы </t>
  </si>
  <si>
    <t>9.16.</t>
  </si>
  <si>
    <t xml:space="preserve">N   </t>
  </si>
  <si>
    <t xml:space="preserve">Показатели               </t>
  </si>
  <si>
    <t>Ед. изм.</t>
  </si>
  <si>
    <t xml:space="preserve">Численность                           </t>
  </si>
  <si>
    <t xml:space="preserve">Численность ППП                       </t>
  </si>
  <si>
    <t xml:space="preserve">чел.  </t>
  </si>
  <si>
    <t xml:space="preserve">Средняя оплата труда                  </t>
  </si>
  <si>
    <t xml:space="preserve">2.1.   </t>
  </si>
  <si>
    <t xml:space="preserve">Тарифная ставка рабочего 1 разряда    </t>
  </si>
  <si>
    <t xml:space="preserve">руб.  </t>
  </si>
  <si>
    <t xml:space="preserve">2.2.   </t>
  </si>
  <si>
    <t xml:space="preserve">Дефлятор по заработной плате          </t>
  </si>
  <si>
    <t xml:space="preserve">2.3.   </t>
  </si>
  <si>
    <t xml:space="preserve">2.4.   </t>
  </si>
  <si>
    <t xml:space="preserve">Средняя ступень оплаты                </t>
  </si>
  <si>
    <t xml:space="preserve">2.5.   </t>
  </si>
  <si>
    <t xml:space="preserve">2.6.   </t>
  </si>
  <si>
    <t xml:space="preserve">Среднемесячная тарифная ставка ППП    </t>
  </si>
  <si>
    <t xml:space="preserve">- " -  </t>
  </si>
  <si>
    <t xml:space="preserve">2.7.   </t>
  </si>
  <si>
    <t>2.7.1.</t>
  </si>
  <si>
    <t xml:space="preserve">процент выплаты                       </t>
  </si>
  <si>
    <t xml:space="preserve">%    </t>
  </si>
  <si>
    <t>2.7.2.</t>
  </si>
  <si>
    <t xml:space="preserve">сумма выплат                          </t>
  </si>
  <si>
    <t xml:space="preserve">2.8.   </t>
  </si>
  <si>
    <t xml:space="preserve">Текущее премирование                  </t>
  </si>
  <si>
    <t>2.8.1.</t>
  </si>
  <si>
    <t>2.8.2.</t>
  </si>
  <si>
    <t xml:space="preserve">2.9.   </t>
  </si>
  <si>
    <t xml:space="preserve">Вознаграждение за выслугу лет         </t>
  </si>
  <si>
    <t>2.9.1.</t>
  </si>
  <si>
    <t>2.9.2.</t>
  </si>
  <si>
    <t xml:space="preserve">2.10.  </t>
  </si>
  <si>
    <t xml:space="preserve">Выплаты по итогам года                </t>
  </si>
  <si>
    <t>2.10.1.</t>
  </si>
  <si>
    <t>2.10.2.</t>
  </si>
  <si>
    <t xml:space="preserve">2.11.  </t>
  </si>
  <si>
    <t>2.11.1.</t>
  </si>
  <si>
    <t>2.11.2.</t>
  </si>
  <si>
    <t xml:space="preserve">2.12.  </t>
  </si>
  <si>
    <t xml:space="preserve">3.1.   </t>
  </si>
  <si>
    <t xml:space="preserve">Льготный проезд к месту отдыха        </t>
  </si>
  <si>
    <t xml:space="preserve">3.2.   </t>
  </si>
  <si>
    <t xml:space="preserve">По Постановлению от 03.11.94 N 1206   </t>
  </si>
  <si>
    <t xml:space="preserve">3.3.   </t>
  </si>
  <si>
    <t xml:space="preserve">Итого средства на оплату труда ППП    </t>
  </si>
  <si>
    <t xml:space="preserve">Тарифный коэффициент,  соответствующий ступени по оплате труда    </t>
  </si>
  <si>
    <t xml:space="preserve">Выплаты, связанные с режимом работы  с условиями труда 1 работника           </t>
  </si>
  <si>
    <t>тыс. руб</t>
  </si>
  <si>
    <t>Тарифная ставка  рабочего  1 разряда с учетом дефлятора</t>
  </si>
  <si>
    <t>Выплаты по  районному  коэффициенту  и северные надбавки</t>
  </si>
  <si>
    <t>Итого среднемесячная оплата труда на 1 работника</t>
  </si>
  <si>
    <t>Расчет средств  на  оплату  труда  ППП (включённого в себестоимость)</t>
  </si>
  <si>
    <t xml:space="preserve">Калькуляционные статьи затрат         </t>
  </si>
  <si>
    <t>Основная оплата труда производственных рабочих</t>
  </si>
  <si>
    <t xml:space="preserve">4.1. </t>
  </si>
  <si>
    <t xml:space="preserve">амортизация производственного оборудования    </t>
  </si>
  <si>
    <t xml:space="preserve">ВН                                            </t>
  </si>
  <si>
    <t xml:space="preserve">СН1                                           </t>
  </si>
  <si>
    <t xml:space="preserve">СН11                                          </t>
  </si>
  <si>
    <t xml:space="preserve">НН                                            </t>
  </si>
  <si>
    <t xml:space="preserve">4.2. </t>
  </si>
  <si>
    <t xml:space="preserve">отчисления в ремонтный фонд                   </t>
  </si>
  <si>
    <t xml:space="preserve">4.3. </t>
  </si>
  <si>
    <t xml:space="preserve">Цеховые расходы                               </t>
  </si>
  <si>
    <t xml:space="preserve">Общехозяйственные расходы, всего в том числе: </t>
  </si>
  <si>
    <t xml:space="preserve">7.1. </t>
  </si>
  <si>
    <t xml:space="preserve">Целевые средства на НИОКР                     </t>
  </si>
  <si>
    <t xml:space="preserve">7.2. </t>
  </si>
  <si>
    <t xml:space="preserve">Средства на страхование                       </t>
  </si>
  <si>
    <t xml:space="preserve">7.3. </t>
  </si>
  <si>
    <t xml:space="preserve">7.4. </t>
  </si>
  <si>
    <t xml:space="preserve">7.5. </t>
  </si>
  <si>
    <t xml:space="preserve">в том числе:                                  </t>
  </si>
  <si>
    <t xml:space="preserve">- налог на землю                              </t>
  </si>
  <si>
    <t xml:space="preserve">Арендная плата                                </t>
  </si>
  <si>
    <t xml:space="preserve">Недополученный по независящим причинам доход  </t>
  </si>
  <si>
    <t xml:space="preserve">Итого производственные расходы                </t>
  </si>
  <si>
    <t xml:space="preserve">Полезный отпуск электроэнергии, млн. кВт.ч    </t>
  </si>
  <si>
    <t xml:space="preserve">Удельные расходы, руб./тыс. кВт.ч             </t>
  </si>
  <si>
    <t xml:space="preserve">Условно-постоянные затраты, в том числе:      </t>
  </si>
  <si>
    <t xml:space="preserve">Сумма общехозяйственных расходов              </t>
  </si>
  <si>
    <t xml:space="preserve">Расходы    по    содержанию   и    эксплуатации оборудования, в том числе:                    </t>
  </si>
  <si>
    <t>Дополнительная  оплата  труда  производственных рабочих</t>
  </si>
  <si>
    <t xml:space="preserve">Отчисления    на    соц.    нужды    с   оплаты производственных рабочих          </t>
  </si>
  <si>
    <t>другие  расходы  по содержанию  и  эксплуатации оборудования</t>
  </si>
  <si>
    <t xml:space="preserve">Расходы по подготовке и  освоению  производства (пусковые работы)                       </t>
  </si>
  <si>
    <t xml:space="preserve">Плата за предельно допустимые  выбросы (сбросы) загрязняющих веществ              </t>
  </si>
  <si>
    <t>Отчисления   в  ремонтный  фонд  в  случае  его формирования</t>
  </si>
  <si>
    <t>Непроизводственные расходы (налоги  и    другие обязательные платежи и сборы) всего, в т.ч</t>
  </si>
  <si>
    <t>Другие   затраты,  относимые  на  себестоимость продукции, всего, в том числе:</t>
  </si>
  <si>
    <t>Избыток  средств,   полученный   в   предыдущем периоде регулирования</t>
  </si>
  <si>
    <t>Покупка потерь</t>
  </si>
  <si>
    <t>9.17.</t>
  </si>
  <si>
    <t>Межсетевеое взаимодействие МРСК (индивидуальные тарифы)</t>
  </si>
  <si>
    <t>Заместитель главного инженера</t>
  </si>
  <si>
    <t>Верюжский В.О.</t>
  </si>
  <si>
    <t>Должность</t>
  </si>
  <si>
    <t>Ф.И.О.</t>
  </si>
  <si>
    <t>М.П.</t>
  </si>
  <si>
    <t>Прочее оборудование</t>
  </si>
  <si>
    <t>Расчет расходов на оплату труда в сфере оказания услуг по передаче электроэнергии АО "ЦС "Звёздочка"</t>
  </si>
  <si>
    <t>-</t>
  </si>
  <si>
    <t xml:space="preserve">8.1. </t>
  </si>
  <si>
    <t>Покупка потерь электроэнергии</t>
  </si>
  <si>
    <t xml:space="preserve">8.2. </t>
  </si>
  <si>
    <t xml:space="preserve">8.3. </t>
  </si>
  <si>
    <t xml:space="preserve">8.4. </t>
  </si>
  <si>
    <t xml:space="preserve">8.5. </t>
  </si>
  <si>
    <t>№ п.п.</t>
  </si>
  <si>
    <t>капитальный ремонт и техническое обслуживание</t>
  </si>
  <si>
    <t>Работы и услуги вспомогательного характера</t>
  </si>
  <si>
    <t>Сырьё и материалы</t>
  </si>
  <si>
    <t xml:space="preserve">8.6. </t>
  </si>
  <si>
    <t xml:space="preserve">8.7. </t>
  </si>
  <si>
    <t>14.1.</t>
  </si>
  <si>
    <t>Таблица N П1.15</t>
  </si>
  <si>
    <t>Таблица N П1.18.2</t>
  </si>
  <si>
    <t>исп. Артюгин В.М. 8(8184)596-138</t>
  </si>
  <si>
    <t>Калькуляция расходов, связанных с передачей электрической энергии АО "ЦС "Звёздочка"</t>
  </si>
  <si>
    <t>Расходы на услуги по передаче электроэнергии (руб.)</t>
  </si>
  <si>
    <t>ИТОГО</t>
  </si>
  <si>
    <t>№ п/п</t>
  </si>
  <si>
    <t>Выполненные работы</t>
  </si>
  <si>
    <t>Cумма ( руб.)</t>
  </si>
  <si>
    <t>срок реализации</t>
  </si>
  <si>
    <t>Участок</t>
  </si>
  <si>
    <t>Название транспортного средства</t>
  </si>
  <si>
    <t>Вид транспорта</t>
  </si>
  <si>
    <t>Назначение</t>
  </si>
  <si>
    <t>Эл.сн.</t>
  </si>
  <si>
    <t>Грузовой автомобиль</t>
  </si>
  <si>
    <t>Сумма затрат (руб)</t>
  </si>
  <si>
    <t xml:space="preserve">Трактор </t>
  </si>
  <si>
    <t>Грузовой</t>
  </si>
  <si>
    <t>Специальный</t>
  </si>
  <si>
    <t>Подъемно-механический</t>
  </si>
  <si>
    <t>Количество машино-часов</t>
  </si>
  <si>
    <t>руб.</t>
  </si>
  <si>
    <t>Грузовой тр-т</t>
  </si>
  <si>
    <t>маш. час.</t>
  </si>
  <si>
    <t>Спецтранспорт</t>
  </si>
  <si>
    <t>Подъемно-механический тр-т</t>
  </si>
  <si>
    <t>Плановая стоимость (руб)</t>
  </si>
  <si>
    <t>Плановые расходы на услуги по передаче электроэнергии (руб.)</t>
  </si>
  <si>
    <t>Плановый процент распределения</t>
  </si>
  <si>
    <t xml:space="preserve">Заместитель главного инженера </t>
  </si>
  <si>
    <t>В.О. Верюжский</t>
  </si>
  <si>
    <t>исп. Артюгин В.М.</t>
  </si>
  <si>
    <t>8(8184)596-138</t>
  </si>
  <si>
    <t xml:space="preserve"> </t>
  </si>
  <si>
    <t>расходы на передачу</t>
  </si>
  <si>
    <t>Инвентарный номер ООС</t>
  </si>
  <si>
    <t>Наименование ООС</t>
  </si>
  <si>
    <t>ПС, руб.</t>
  </si>
  <si>
    <t>Дата принятия к учету ООС</t>
  </si>
  <si>
    <t>187787</t>
  </si>
  <si>
    <t>Тpансфоpматоp силовой ТМ-250/10-0,23</t>
  </si>
  <si>
    <t>01.12.96</t>
  </si>
  <si>
    <t>187788</t>
  </si>
  <si>
    <t>187789</t>
  </si>
  <si>
    <t>187790</t>
  </si>
  <si>
    <t>187807</t>
  </si>
  <si>
    <t>Камеpа КPУ-ХП</t>
  </si>
  <si>
    <t>187808</t>
  </si>
  <si>
    <t>187809</t>
  </si>
  <si>
    <t>187810</t>
  </si>
  <si>
    <t>000303</t>
  </si>
  <si>
    <t>Здание главной понизительной подстанции ГПП-110/10</t>
  </si>
  <si>
    <t>01.12.84</t>
  </si>
  <si>
    <t>001198</t>
  </si>
  <si>
    <t>Высоковольтная линия от ТЭЦ-ГПП(главн.пониз.подст.)</t>
  </si>
  <si>
    <t>194952</t>
  </si>
  <si>
    <t>Кабельная трасса ТП-6 до ТП-5 мкр 9-10</t>
  </si>
  <si>
    <t>01.10.86</t>
  </si>
  <si>
    <t>194954</t>
  </si>
  <si>
    <t>Кабельная трасса от РТП-3П до врезки в питающий кабель в/ч92485</t>
  </si>
  <si>
    <t>01.03.87</t>
  </si>
  <si>
    <t>группа</t>
  </si>
  <si>
    <t>СРОК</t>
  </si>
  <si>
    <t>хар-ка</t>
  </si>
  <si>
    <t>4707100200</t>
  </si>
  <si>
    <t>Тепловизор BALTECH TR-01100</t>
  </si>
  <si>
    <t>31.08.12</t>
  </si>
  <si>
    <t>143312000</t>
  </si>
  <si>
    <t>7_10</t>
  </si>
  <si>
    <t>Средства измерений общего применения, кроме контрольного оборудования для технологических процессов</t>
  </si>
  <si>
    <t>5040200078</t>
  </si>
  <si>
    <t>Автомобиль  марки УАЗ модель 390995, комплектация:310</t>
  </si>
  <si>
    <t>31.07.11</t>
  </si>
  <si>
    <t>153410449</t>
  </si>
  <si>
    <t>5_7</t>
  </si>
  <si>
    <t>Автомобили специализированные для лесозаготовок; специализированные прочие; специальные прочие, кроме включенных в группировку 14 3410040</t>
  </si>
  <si>
    <t>Итого:</t>
  </si>
  <si>
    <t>Среднегодовая стоимость ООС, руб.</t>
  </si>
  <si>
    <t xml:space="preserve">Налог на имущество рассчитан как 2,2% от среднегодовой стоимости </t>
  </si>
  <si>
    <t>Измерительная установка "РЕТОМ-30КА"</t>
  </si>
  <si>
    <t>4707100273</t>
  </si>
  <si>
    <t>31.10.15</t>
  </si>
  <si>
    <t>Анализатор качества электроэнергии MI2892</t>
  </si>
  <si>
    <t>4707100276</t>
  </si>
  <si>
    <t>Трассоискатель "СТАЛКЕР 75-04"</t>
  </si>
  <si>
    <t>4707100272</t>
  </si>
  <si>
    <t>Установка для испытания "СКАТ-М 100В"</t>
  </si>
  <si>
    <t>4707100274</t>
  </si>
  <si>
    <t>Трёхфазный регистратор энергии Power Logger 1735 "FLUKE"</t>
  </si>
  <si>
    <t>4707100275</t>
  </si>
  <si>
    <t>проверка</t>
  </si>
  <si>
    <t>Приборы для измерения напряженности поля и радиопомех, генераторы радиоизмерительные</t>
  </si>
  <si>
    <t>3 гр -  свыше 3 лет до 5 лет вкл</t>
  </si>
  <si>
    <t>14 3312541</t>
  </si>
  <si>
    <t>ОКОФ</t>
  </si>
  <si>
    <t>Доля относимая на услуги по передаче</t>
  </si>
  <si>
    <t>ИТОГО (по участку)</t>
  </si>
  <si>
    <t>ИТОГО (в доле относимой на сторонних потребителей)</t>
  </si>
  <si>
    <t>В соответствии с расшифровкой</t>
  </si>
  <si>
    <t>- налог на имущество</t>
  </si>
  <si>
    <t>в соответствии с расчётом</t>
  </si>
  <si>
    <t>9.7.3.</t>
  </si>
  <si>
    <t xml:space="preserve">Налог на имущество       </t>
  </si>
  <si>
    <t>В соответствии с расчётом</t>
  </si>
  <si>
    <t>Таблица N П1.16</t>
  </si>
  <si>
    <t>8.8.</t>
  </si>
  <si>
    <t>Объёмы потребления и передачи электроэнергии</t>
  </si>
  <si>
    <t>Объём электропотребления на сосбственные нужды АО "ЦС "Звёздочка"</t>
  </si>
  <si>
    <t>Объём передачи по электрическим сетям АО "ЦС "Звёздочка" потребителям</t>
  </si>
  <si>
    <t>Ощий объём электроэнергии</t>
  </si>
  <si>
    <t>% изменения</t>
  </si>
  <si>
    <t>Смета расходов на услуги по передаче электрической энергии сторонним потребителям АО "ЦС "Звёздочка"</t>
  </si>
  <si>
    <t>Кабельная тpасса от ТП-10 до казаpмы ПаХP и Вохp</t>
  </si>
  <si>
    <t>Кабельная тpасса от PТП-13 до склада москателей и химикатов</t>
  </si>
  <si>
    <t>Кабельная тpасса ФТП-2 до ТП-15</t>
  </si>
  <si>
    <t>Кабельная тpасса от ФТП-2 до ТП-35/1 объекта N 24 дл.470 м</t>
  </si>
  <si>
    <t>Кабельная тpасса от PТП-13 до ТП-11 дл.728 м</t>
  </si>
  <si>
    <t>Кабельная тpасса от объекта N 152 до ТП-29 /ПТП-26/</t>
  </si>
  <si>
    <t>Кабельная тpасса от PТП-13 до ТП-10</t>
  </si>
  <si>
    <t>Кабельная трасса от РПТП-8 объекта N 6 до ГРУ ТЭЦ-1 длинной 3,5км</t>
  </si>
  <si>
    <t>Кабельная тpасса от ТП-16 до щитовой "Столовой на 530 мест"</t>
  </si>
  <si>
    <t>Кабельная трасса от ПТП-26 до РП-38</t>
  </si>
  <si>
    <t>Кабельная трасса РП-38-ТП-39</t>
  </si>
  <si>
    <t>Кабельная трасса РП-38-ТП-41</t>
  </si>
  <si>
    <t>Кабельная трасса ГПП-110/10-РТП-38</t>
  </si>
  <si>
    <t>Кабельная тpасса ТП-11 до ТП-25</t>
  </si>
  <si>
    <t>Кабельная тpасса от ТП-10 до поликлиники на 750 посещений</t>
  </si>
  <si>
    <t>Кабельная тpасса от ТП-14 до поликлиники на 750 посещений</t>
  </si>
  <si>
    <t>Кабельная тpасса от ТП-10 до пождепо</t>
  </si>
  <si>
    <t>001055</t>
  </si>
  <si>
    <t>001056</t>
  </si>
  <si>
    <t>001111</t>
  </si>
  <si>
    <t>001118</t>
  </si>
  <si>
    <t>001125</t>
  </si>
  <si>
    <t>001127</t>
  </si>
  <si>
    <t>001134</t>
  </si>
  <si>
    <t>001137</t>
  </si>
  <si>
    <t>001166</t>
  </si>
  <si>
    <t>001167</t>
  </si>
  <si>
    <t>001170</t>
  </si>
  <si>
    <t>001173</t>
  </si>
  <si>
    <t>001180</t>
  </si>
  <si>
    <t>001203</t>
  </si>
  <si>
    <t>001227</t>
  </si>
  <si>
    <t>094293</t>
  </si>
  <si>
    <t>194865</t>
  </si>
  <si>
    <t>194922</t>
  </si>
  <si>
    <t>194953</t>
  </si>
  <si>
    <t>01.10.70</t>
  </si>
  <si>
    <t>01.12.83</t>
  </si>
  <si>
    <t>01.06.74</t>
  </si>
  <si>
    <t>01.02.70</t>
  </si>
  <si>
    <t>01.10.68</t>
  </si>
  <si>
    <t>01.11.77</t>
  </si>
  <si>
    <t>01.02.78</t>
  </si>
  <si>
    <t>01.12.79</t>
  </si>
  <si>
    <t>01.02.80</t>
  </si>
  <si>
    <t>01.02.82</t>
  </si>
  <si>
    <t>01.11.85</t>
  </si>
  <si>
    <t>01.12.85</t>
  </si>
  <si>
    <t>01.10.78</t>
  </si>
  <si>
    <t>01.07.86</t>
  </si>
  <si>
    <t>Трансформаторная подстанция РТП-35 РУ-6кв</t>
  </si>
  <si>
    <t>Вакуумные выключатели серии ВВ/TEL на ТП-16</t>
  </si>
  <si>
    <t>Здание энергоблока № 3 с ПТП-22</t>
  </si>
  <si>
    <t>143120162</t>
  </si>
  <si>
    <t>4075800151</t>
  </si>
  <si>
    <t>4075800143</t>
  </si>
  <si>
    <t>000903</t>
  </si>
  <si>
    <t>31.12.11</t>
  </si>
  <si>
    <t>31.03.11</t>
  </si>
  <si>
    <t>01.12.64</t>
  </si>
  <si>
    <t>тип обор</t>
  </si>
  <si>
    <t>прочее</t>
  </si>
  <si>
    <t>_</t>
  </si>
  <si>
    <t>СН2</t>
  </si>
  <si>
    <t>ВН</t>
  </si>
  <si>
    <t>НН</t>
  </si>
  <si>
    <t>%</t>
  </si>
  <si>
    <t>Аммортизация по уровням напряжения</t>
  </si>
  <si>
    <t>В целом по основным средствам (руб.)</t>
  </si>
  <si>
    <t>сумма амортизации</t>
  </si>
  <si>
    <t>Средний процент распределения</t>
  </si>
  <si>
    <t>Удельный вес %</t>
  </si>
  <si>
    <t>Относимое на услуги по передаче (руб.)</t>
  </si>
  <si>
    <t>Перевозка трансформаторов и кабеля, опор освещения</t>
  </si>
  <si>
    <t>Уборка снега в зимнее время, рытьё траншей под КЛ</t>
  </si>
  <si>
    <t>Устранение аварий, ремонт ВЛ, сетей освещения, ремонт и замена ламп. Погрузка и разгрузка оборудования и кабельной продукции</t>
  </si>
  <si>
    <t>Автокран и автовышка</t>
  </si>
  <si>
    <t>4705800004a</t>
  </si>
  <si>
    <t>Автоматизированная информационно-измерительная система контроля и учёта электроэнергии(АИИС КУЭ)</t>
  </si>
  <si>
    <t>30.09.07</t>
  </si>
  <si>
    <t>31.03.07</t>
  </si>
  <si>
    <t>СПИ (бух. учёт)</t>
  </si>
  <si>
    <t>ИЗНОС НА КОНЕЦ 18 НАЧ 19</t>
  </si>
  <si>
    <t>ОСТАТОЧНАЯ НА КОНЕЦ 18</t>
  </si>
  <si>
    <t>Максимальный СПИ** (лет)</t>
  </si>
  <si>
    <t>Максимальный СПИ** (месяцев)</t>
  </si>
  <si>
    <t>*Расчёт выполняется на основании максимального срока полезного использования, определённым в соответствии с классификацией основных средств, включённых в амортизационные группы</t>
  </si>
  <si>
    <t xml:space="preserve">** В соответствии с Классификацией основных средств, включаемых в амортизационные группы, утвержденной постановлением Правительства РФ от 1 января 2002 года </t>
  </si>
  <si>
    <t>Начисленная амортизация на конец периода, предшествующего РПР, руб.*</t>
  </si>
  <si>
    <t>Остаточная стоимость ООС на конец периода, предшествующего РПР, руб.*</t>
  </si>
  <si>
    <t>Количество месяцев начисления амортизации в РПР*</t>
  </si>
  <si>
    <t>Расчет месячной амортизации исходя из максимального СПИ, руб.*</t>
  </si>
  <si>
    <t>амортизация в месяц*</t>
  </si>
  <si>
    <t>2018 год (факт)</t>
  </si>
  <si>
    <t>Ожидаемое на период регулирования (2020 год)</t>
  </si>
  <si>
    <t>2018 год</t>
  </si>
  <si>
    <t>2020 год (ожидаемое)</t>
  </si>
  <si>
    <t xml:space="preserve">2018 год (факт) </t>
  </si>
  <si>
    <t>Плановая стоимость услуг цеха № 20 по видам транспорта на 2020 год</t>
  </si>
  <si>
    <t>Расшифровка транспортных расходов (расчёт) на 2020 год</t>
  </si>
  <si>
    <t>Ожидаемая внутризаводская цена на 2020 год*</t>
  </si>
  <si>
    <t>Расчет амортизации основных средств на 2020 год*</t>
  </si>
  <si>
    <t>По факту 2018 года с учётом увеличения объёма передачи и с индексацией по ИЦП  в промышленности в базовом варианте прогноза социально-экономического развития РФ до 2024 года</t>
  </si>
  <si>
    <t>Пропорционально фактически сложившемуся отношению за 2018 год</t>
  </si>
  <si>
    <t>8.9.</t>
  </si>
  <si>
    <t>Топливо и ГСМ</t>
  </si>
  <si>
    <t>Межсетевеое взаимодействие (индивидуальные тарифы)</t>
  </si>
  <si>
    <t>Расшифровка затрат по капитальному ремонту за 12 месяцев 2018 года участок электросети</t>
  </si>
  <si>
    <t>КР зданий и сооружений</t>
  </si>
  <si>
    <t>Расчет налога на имущество на 2020 год*</t>
  </si>
  <si>
    <t>Остаточная стоимость ООС на 01.01.2020, руб.*</t>
  </si>
  <si>
    <t>Остаточная стоимость ООС на 01.02.2020, руб.</t>
  </si>
  <si>
    <t>Остаточная стоимость ООС на 01.03.2020, руб.</t>
  </si>
  <si>
    <t>Остаточная стоимость ООС на 01.04.2020, руб.</t>
  </si>
  <si>
    <t>Остаточная стоимость ООС на 01.05.2020, руб.</t>
  </si>
  <si>
    <t>Остаточная стоимость ООС на 01.06.2020, руб.</t>
  </si>
  <si>
    <t>Остаточная стоимость ООС на 01.07.2020, руб.</t>
  </si>
  <si>
    <t>Остаточная стоимость ООС на 01.08.2020, руб.</t>
  </si>
  <si>
    <t>Остаточная стоимость ООС на 01.09.2020, руб.</t>
  </si>
  <si>
    <t>Остаточная стоимость ООС на 01.10.2020, руб.</t>
  </si>
  <si>
    <t>Остаточная стоимость ООС на 01.11.2020, руб.</t>
  </si>
  <si>
    <t>Остаточная стоимость ООС на 01.12.2020, руб.</t>
  </si>
  <si>
    <t>Остаточная стоимость ООС на 31.12.2020, руб.</t>
  </si>
  <si>
    <t>2020 год (ожидаемое) тыс кВт*ч</t>
  </si>
  <si>
    <t>К. ремонт силового трансформатора ТМ-560/10 на ТП-31</t>
  </si>
  <si>
    <t>К. ремонт электрооборудования</t>
  </si>
  <si>
    <t>К. ремонт охранного освещения предприятия от ЗКПП до поста №12</t>
  </si>
  <si>
    <t>К. ремонт канализации сан.узла об. 61</t>
  </si>
  <si>
    <t>К. ремонт сети освещения РТП-20, РТП-1</t>
  </si>
  <si>
    <t>К. ремонт сети наружного освещения от ВКПП до ацетилен. станции</t>
  </si>
  <si>
    <t>К. ремонт сети наружного освещения от об.55 до об.100</t>
  </si>
  <si>
    <t>К. ремонт силового трансформатора на ТП-35/1 об.24</t>
  </si>
  <si>
    <t>К. ремонт кабельной линии от РТП-2 до РП-9</t>
  </si>
  <si>
    <t>К. ремонт системы отопления об. 61</t>
  </si>
  <si>
    <t>К. ремонт аварийного участка ВЛ-110 кВ "Ягры-2"</t>
  </si>
  <si>
    <t>Внутризаводская цена на 2019 год</t>
  </si>
  <si>
    <t>* Индексация утверждённых цен на 2019 год по ИЦП 104,3% на транспорт  в базовом варианте прогноза социально-экономического развития РФ до 2024 года.</t>
  </si>
  <si>
    <t>Необходимая валовая выручка на 2019 год с учётом межсетевого взаимодействия (индивидуальные тарифы) и покупкой потерь электроэнергии</t>
  </si>
  <si>
    <t>Месячная амортизация в 2020 году, руб.(бух. учёт)</t>
  </si>
  <si>
    <t>Расчёт ожидаемой годовой амортиз в 2020 руб.*</t>
  </si>
  <si>
    <t>Сумма налога на имущество в 2020 году, руб.</t>
  </si>
  <si>
    <t>Итого факт 12 мес. 2018г.:</t>
  </si>
  <si>
    <r>
      <t xml:space="preserve">Топливо на технологические цели </t>
    </r>
    <r>
      <rPr>
        <i/>
        <sz val="10"/>
        <color theme="1"/>
        <rFont val="Arial"/>
        <family val="2"/>
        <charset val="204"/>
      </rPr>
      <t>(масло трансформаторное)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</si>
</sst>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  <numFmt numFmtId="165" formatCode="&quot;$&quot;#,##0_);[Red]\(&quot;$&quot;#,##0\)"/>
    <numFmt numFmtId="166" formatCode="_-* #,##0.00_р_._-;\-* #,##0.00_р_._-;_-* \-??_р_._-;_-@_-"/>
    <numFmt numFmtId="167" formatCode="0.0"/>
    <numFmt numFmtId="168" formatCode="0.000"/>
    <numFmt numFmtId="169" formatCode="#,##0.000"/>
    <numFmt numFmtId="170" formatCode="#,##0_ ;\-#,##0\ "/>
    <numFmt numFmtId="171" formatCode="#,##0.0"/>
  </numFmts>
  <fonts count="10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12"/>
      <name val="Arial"/>
      <family val="2"/>
      <charset val="204"/>
    </font>
    <font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theme="9" tint="-0.249977111117893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name val="Times New Roman CE"/>
      <family val="1"/>
      <charset val="238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rgb="FF000000"/>
      <name val="Arial Cyr"/>
      <charset val="204"/>
    </font>
    <font>
      <sz val="10"/>
      <color theme="8" tint="-0.249977111117893"/>
      <name val="Arial Cyr"/>
      <charset val="204"/>
    </font>
    <font>
      <b/>
      <sz val="10"/>
      <color theme="9" tint="-0.249977111117893"/>
      <name val="Arial Cyr"/>
      <charset val="204"/>
    </font>
    <font>
      <b/>
      <sz val="10"/>
      <color rgb="FFC00000"/>
      <name val="Arial Cyr"/>
      <charset val="204"/>
    </font>
    <font>
      <sz val="12"/>
      <color rgb="FF000000"/>
      <name val="Verdana"/>
      <family val="2"/>
      <charset val="204"/>
    </font>
    <font>
      <b/>
      <sz val="10"/>
      <color theme="1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b/>
      <sz val="9"/>
      <color theme="1"/>
      <name val="Verdana"/>
      <family val="2"/>
      <charset val="204"/>
    </font>
    <font>
      <sz val="8"/>
      <color theme="1"/>
      <name val="Verdana"/>
      <family val="2"/>
      <charset val="204"/>
    </font>
    <font>
      <b/>
      <i/>
      <sz val="11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12"/>
      <color rgb="FF000000"/>
      <name val="Calibri"/>
      <family val="2"/>
      <charset val="204"/>
      <scheme val="minor"/>
    </font>
    <font>
      <i/>
      <sz val="8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i/>
      <sz val="10"/>
      <color rgb="FFFF0000"/>
      <name val="Arial"/>
      <family val="2"/>
      <charset val="204"/>
    </font>
    <font>
      <b/>
      <sz val="11"/>
      <color theme="5" tint="-0.249977111117893"/>
      <name val="Calibri"/>
      <family val="2"/>
      <charset val="204"/>
      <scheme val="minor"/>
    </font>
    <font>
      <b/>
      <sz val="10"/>
      <color theme="5" tint="-0.249977111117893"/>
      <name val="Arial Cyr"/>
      <charset val="204"/>
    </font>
    <font>
      <b/>
      <sz val="12"/>
      <color theme="5" tint="-0.249977111117893"/>
      <name val="Verdana"/>
      <family val="2"/>
      <charset val="204"/>
    </font>
    <font>
      <b/>
      <i/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Arial"/>
      <family val="2"/>
      <charset val="204"/>
    </font>
    <font>
      <i/>
      <sz val="14"/>
      <color theme="1"/>
      <name val="Arial"/>
      <family val="2"/>
      <charset val="204"/>
    </font>
    <font>
      <b/>
      <sz val="12"/>
      <color rgb="FFC0000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1"/>
      <color rgb="FFC00000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"/>
      <family val="1"/>
      <charset val="204"/>
    </font>
    <font>
      <sz val="12"/>
      <color theme="5" tint="-0.499984740745262"/>
      <name val="Calibri"/>
      <family val="2"/>
      <charset val="204"/>
      <scheme val="minor"/>
    </font>
    <font>
      <sz val="11"/>
      <color theme="5" tint="-0.499984740745262"/>
      <name val="Calibri"/>
      <family val="2"/>
      <charset val="204"/>
      <scheme val="minor"/>
    </font>
    <font>
      <i/>
      <sz val="12"/>
      <color theme="5" tint="-0.499984740745262"/>
      <name val="Calibri"/>
      <family val="2"/>
      <charset val="204"/>
      <scheme val="minor"/>
    </font>
    <font>
      <b/>
      <sz val="12"/>
      <color theme="5" tint="-0.499984740745262"/>
      <name val="Calibri"/>
      <family val="2"/>
      <charset val="204"/>
      <scheme val="minor"/>
    </font>
  </fonts>
  <fills count="5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4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70">
    <xf numFmtId="0" fontId="0" fillId="0" borderId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7" fillId="0" borderId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24" borderId="0" applyNumberFormat="0" applyBorder="0" applyAlignment="0" applyProtection="0"/>
    <xf numFmtId="0" fontId="13" fillId="23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0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25" borderId="0" applyNumberFormat="0" applyBorder="0" applyAlignment="0" applyProtection="0"/>
    <xf numFmtId="0" fontId="23" fillId="33" borderId="0" applyNumberFormat="0" applyBorder="0" applyAlignment="0" applyProtection="0"/>
    <xf numFmtId="0" fontId="23" fillId="37" borderId="0" applyNumberFormat="0" applyBorder="0" applyAlignment="0" applyProtection="0"/>
    <xf numFmtId="0" fontId="24" fillId="21" borderId="0" applyNumberFormat="0" applyBorder="0" applyAlignment="0" applyProtection="0"/>
    <xf numFmtId="0" fontId="25" fillId="38" borderId="8" applyNumberFormat="0" applyAlignment="0" applyProtection="0"/>
    <xf numFmtId="0" fontId="26" fillId="39" borderId="9" applyNumberFormat="0" applyAlignment="0" applyProtection="0"/>
    <xf numFmtId="165" fontId="18" fillId="0" borderId="0" applyFont="0" applyFill="0" applyBorder="0" applyAlignment="0" applyProtection="0"/>
    <xf numFmtId="0" fontId="21" fillId="0" borderId="0" applyFill="0" applyBorder="0" applyProtection="0">
      <alignment vertical="center"/>
    </xf>
    <xf numFmtId="0" fontId="27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8" fillId="22" borderId="0" applyNumberFormat="0" applyBorder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4" fillId="28" borderId="8" applyNumberFormat="0" applyAlignment="0" applyProtection="0"/>
    <xf numFmtId="0" fontId="32" fillId="0" borderId="13" applyNumberFormat="0" applyFill="0" applyAlignment="0" applyProtection="0"/>
    <xf numFmtId="0" fontId="33" fillId="40" borderId="0" applyNumberFormat="0" applyBorder="0" applyAlignment="0" applyProtection="0"/>
    <xf numFmtId="0" fontId="15" fillId="0" borderId="0" applyNumberFormat="0" applyFill="0" applyBorder="0" applyAlignment="0" applyProtection="0"/>
    <xf numFmtId="0" fontId="19" fillId="0" borderId="0"/>
    <xf numFmtId="0" fontId="21" fillId="0" borderId="0" applyFill="0" applyBorder="0" applyProtection="0">
      <alignment vertical="center"/>
    </xf>
    <xf numFmtId="0" fontId="13" fillId="41" borderId="14" applyNumberFormat="0" applyFont="0" applyAlignment="0" applyProtection="0"/>
    <xf numFmtId="0" fontId="34" fillId="38" borderId="15" applyNumberFormat="0" applyAlignment="0" applyProtection="0"/>
    <xf numFmtId="0" fontId="21" fillId="0" borderId="0" applyFill="0" applyBorder="0" applyProtection="0">
      <alignment vertical="center"/>
    </xf>
    <xf numFmtId="0" fontId="35" fillId="0" borderId="0" applyNumberFormat="0" applyFill="0" applyBorder="0" applyAlignment="0" applyProtection="0"/>
    <xf numFmtId="0" fontId="3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4" fillId="28" borderId="8" applyNumberFormat="0" applyAlignment="0" applyProtection="0"/>
    <xf numFmtId="0" fontId="34" fillId="38" borderId="15" applyNumberFormat="0" applyAlignment="0" applyProtection="0"/>
    <xf numFmtId="0" fontId="34" fillId="38" borderId="15" applyNumberFormat="0" applyAlignment="0" applyProtection="0"/>
    <xf numFmtId="0" fontId="34" fillId="38" borderId="15" applyNumberFormat="0" applyAlignment="0" applyProtection="0"/>
    <xf numFmtId="0" fontId="25" fillId="38" borderId="8" applyNumberFormat="0" applyAlignment="0" applyProtection="0"/>
    <xf numFmtId="0" fontId="25" fillId="38" borderId="8" applyNumberFormat="0" applyAlignment="0" applyProtection="0"/>
    <xf numFmtId="0" fontId="25" fillId="38" borderId="8" applyNumberFormat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" fontId="16" fillId="19" borderId="4" applyBorder="0">
      <alignment horizontal="right"/>
    </xf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26" fillId="39" borderId="9" applyNumberFormat="0" applyAlignment="0" applyProtection="0"/>
    <xf numFmtId="0" fontId="26" fillId="39" borderId="9" applyNumberFormat="0" applyAlignment="0" applyProtection="0"/>
    <xf numFmtId="0" fontId="26" fillId="39" borderId="9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49" fontId="16" fillId="0" borderId="0" applyBorder="0">
      <alignment vertical="top"/>
    </xf>
    <xf numFmtId="0" fontId="1" fillId="0" borderId="0"/>
    <xf numFmtId="0" fontId="8" fillId="0" borderId="0"/>
    <xf numFmtId="0" fontId="8" fillId="0" borderId="0"/>
    <xf numFmtId="0" fontId="9" fillId="0" borderId="0"/>
    <xf numFmtId="49" fontId="16" fillId="0" borderId="0" applyBorder="0">
      <alignment vertical="top"/>
    </xf>
    <xf numFmtId="0" fontId="9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9" fillId="0" borderId="0"/>
    <xf numFmtId="0" fontId="8" fillId="0" borderId="0"/>
    <xf numFmtId="0" fontId="1" fillId="0" borderId="0"/>
    <xf numFmtId="0" fontId="9" fillId="0" borderId="0" applyNumberFormat="0" applyFont="0" applyFill="0" applyBorder="0" applyAlignment="0" applyProtection="0">
      <alignment vertical="top"/>
    </xf>
    <xf numFmtId="0" fontId="13" fillId="0" borderId="0"/>
    <xf numFmtId="0" fontId="1" fillId="0" borderId="0"/>
    <xf numFmtId="0" fontId="1" fillId="0" borderId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6" fillId="2" borderId="1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166" fontId="3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16" fillId="18" borderId="0" applyBorder="0">
      <alignment horizontal="right"/>
    </xf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1" fillId="0" borderId="0"/>
  </cellStyleXfs>
  <cellXfs count="352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0" fillId="0" borderId="4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center"/>
    </xf>
    <xf numFmtId="0" fontId="5" fillId="42" borderId="4" xfId="0" applyFont="1" applyFill="1" applyBorder="1" applyAlignment="1">
      <alignment vertical="center" wrapText="1"/>
    </xf>
    <xf numFmtId="0" fontId="0" fillId="0" borderId="17" xfId="0" applyBorder="1"/>
    <xf numFmtId="0" fontId="42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43" fillId="0" borderId="0" xfId="0" applyFont="1" applyAlignment="1"/>
    <xf numFmtId="0" fontId="42" fillId="0" borderId="0" xfId="0" applyFont="1" applyBorder="1" applyAlignment="1"/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169" fontId="0" fillId="0" borderId="0" xfId="0" applyNumberFormat="1"/>
    <xf numFmtId="0" fontId="5" fillId="0" borderId="4" xfId="0" applyFont="1" applyFill="1" applyBorder="1" applyAlignment="1">
      <alignment vertical="center" wrapText="1"/>
    </xf>
    <xf numFmtId="0" fontId="0" fillId="0" borderId="4" xfId="0" applyFill="1" applyBorder="1"/>
    <xf numFmtId="0" fontId="0" fillId="0" borderId="4" xfId="0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2" fontId="0" fillId="0" borderId="0" xfId="0" applyNumberFormat="1"/>
    <xf numFmtId="0" fontId="47" fillId="0" borderId="19" xfId="6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5" fillId="0" borderId="0" xfId="0" applyFont="1"/>
    <xf numFmtId="3" fontId="0" fillId="0" borderId="0" xfId="0" applyNumberFormat="1"/>
    <xf numFmtId="0" fontId="0" fillId="0" borderId="0" xfId="0" applyFill="1"/>
    <xf numFmtId="2" fontId="55" fillId="0" borderId="0" xfId="0" applyNumberFormat="1" applyFont="1"/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0" fontId="39" fillId="0" borderId="0" xfId="6" applyFont="1" applyFill="1" applyBorder="1" applyAlignment="1">
      <alignment vertical="center"/>
    </xf>
    <xf numFmtId="0" fontId="39" fillId="0" borderId="0" xfId="6" applyFont="1" applyFill="1" applyBorder="1" applyAlignment="1">
      <alignment horizontal="center" vertical="center"/>
    </xf>
    <xf numFmtId="4" fontId="39" fillId="0" borderId="0" xfId="6" applyNumberFormat="1" applyFont="1" applyFill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0" fontId="0" fillId="0" borderId="4" xfId="0" applyFill="1" applyBorder="1" applyAlignment="1">
      <alignment wrapText="1"/>
    </xf>
    <xf numFmtId="0" fontId="61" fillId="0" borderId="4" xfId="0" applyFont="1" applyFill="1" applyBorder="1" applyAlignment="1">
      <alignment horizontal="center" vertical="center" wrapText="1"/>
    </xf>
    <xf numFmtId="0" fontId="65" fillId="0" borderId="0" xfId="0" applyFont="1" applyFill="1"/>
    <xf numFmtId="0" fontId="66" fillId="43" borderId="4" xfId="0" quotePrefix="1" applyFont="1" applyFill="1" applyBorder="1"/>
    <xf numFmtId="0" fontId="67" fillId="0" borderId="0" xfId="0" quotePrefix="1" applyFont="1" applyFill="1" applyBorder="1"/>
    <xf numFmtId="16" fontId="0" fillId="0" borderId="0" xfId="0" applyNumberFormat="1" applyFill="1"/>
    <xf numFmtId="0" fontId="68" fillId="0" borderId="0" xfId="0" applyFont="1"/>
    <xf numFmtId="0" fontId="69" fillId="44" borderId="4" xfId="0" quotePrefix="1" applyFont="1" applyFill="1" applyBorder="1"/>
    <xf numFmtId="0" fontId="0" fillId="0" borderId="4" xfId="0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wrapText="1"/>
    </xf>
    <xf numFmtId="49" fontId="72" fillId="0" borderId="4" xfId="0" applyNumberFormat="1" applyFont="1" applyBorder="1" applyAlignment="1">
      <alignment horizontal="center" vertical="center" wrapText="1"/>
    </xf>
    <xf numFmtId="0" fontId="7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49" fillId="0" borderId="0" xfId="0" applyFont="1" applyFill="1" applyBorder="1" applyAlignment="1">
      <alignment horizontal="center" vertical="center" wrapText="1"/>
    </xf>
    <xf numFmtId="3" fontId="74" fillId="0" borderId="0" xfId="0" applyNumberFormat="1" applyFont="1" applyFill="1" applyBorder="1" applyAlignment="1">
      <alignment horizontal="left" vertical="center"/>
    </xf>
    <xf numFmtId="1" fontId="49" fillId="0" borderId="0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9" fillId="0" borderId="0" xfId="0" applyFont="1" applyAlignment="1">
      <alignment horizontal="right" vertical="center"/>
    </xf>
    <xf numFmtId="0" fontId="49" fillId="0" borderId="0" xfId="0" applyFont="1" applyBorder="1" applyAlignment="1">
      <alignment horizontal="right" vertical="center"/>
    </xf>
    <xf numFmtId="0" fontId="49" fillId="0" borderId="0" xfId="0" applyFont="1" applyBorder="1" applyAlignment="1">
      <alignment horizontal="right" vertical="center" wrapText="1"/>
    </xf>
    <xf numFmtId="3" fontId="49" fillId="0" borderId="0" xfId="0" applyNumberFormat="1" applyFont="1" applyBorder="1" applyAlignment="1">
      <alignment horizontal="right" vertical="center"/>
    </xf>
    <xf numFmtId="0" fontId="0" fillId="0" borderId="0" xfId="0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vertical="center" wrapText="1"/>
    </xf>
    <xf numFmtId="0" fontId="2" fillId="0" borderId="0" xfId="0" applyFont="1" applyAlignment="1"/>
    <xf numFmtId="0" fontId="0" fillId="0" borderId="0" xfId="0" applyFill="1" applyAlignment="1">
      <alignment wrapText="1"/>
    </xf>
    <xf numFmtId="0" fontId="45" fillId="0" borderId="0" xfId="0" applyFont="1" applyFill="1" applyAlignment="1">
      <alignment horizontal="right" wrapText="1"/>
    </xf>
    <xf numFmtId="0" fontId="45" fillId="0" borderId="0" xfId="0" applyFont="1" applyFill="1"/>
    <xf numFmtId="0" fontId="45" fillId="0" borderId="17" xfId="0" applyFont="1" applyFill="1" applyBorder="1"/>
    <xf numFmtId="0" fontId="45" fillId="0" borderId="0" xfId="0" applyFont="1" applyFill="1" applyAlignment="1">
      <alignment wrapText="1"/>
    </xf>
    <xf numFmtId="0" fontId="45" fillId="0" borderId="0" xfId="0" applyFont="1" applyFill="1" applyAlignment="1">
      <alignment horizontal="center"/>
    </xf>
    <xf numFmtId="170" fontId="2" fillId="0" borderId="0" xfId="0" applyNumberFormat="1" applyFont="1" applyFill="1"/>
    <xf numFmtId="0" fontId="39" fillId="0" borderId="30" xfId="6" applyFont="1" applyFill="1" applyBorder="1" applyAlignment="1">
      <alignment vertical="center"/>
    </xf>
    <xf numFmtId="0" fontId="39" fillId="0" borderId="26" xfId="6" applyFont="1" applyFill="1" applyBorder="1" applyAlignment="1">
      <alignment vertical="center"/>
    </xf>
    <xf numFmtId="0" fontId="39" fillId="0" borderId="28" xfId="6" applyFont="1" applyFill="1" applyBorder="1" applyAlignment="1">
      <alignment vertical="center"/>
    </xf>
    <xf numFmtId="2" fontId="4" fillId="0" borderId="4" xfId="0" applyNumberFormat="1" applyFont="1" applyFill="1" applyBorder="1" applyAlignment="1">
      <alignment vertical="center" wrapText="1"/>
    </xf>
    <xf numFmtId="0" fontId="46" fillId="0" borderId="3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>
      <alignment vertical="center" wrapText="1"/>
    </xf>
    <xf numFmtId="0" fontId="80" fillId="0" borderId="4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4" fontId="5" fillId="0" borderId="5" xfId="0" applyNumberFormat="1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2" fillId="0" borderId="18" xfId="0" applyNumberFormat="1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vertical="center" wrapText="1"/>
    </xf>
    <xf numFmtId="4" fontId="7" fillId="0" borderId="4" xfId="0" applyNumberFormat="1" applyFont="1" applyFill="1" applyBorder="1" applyAlignment="1">
      <alignment vertical="center" wrapText="1"/>
    </xf>
    <xf numFmtId="0" fontId="0" fillId="0" borderId="4" xfId="0" applyBorder="1" applyAlignment="1">
      <alignment horizontal="right" wrapText="1"/>
    </xf>
    <xf numFmtId="0" fontId="0" fillId="0" borderId="4" xfId="0" applyBorder="1"/>
    <xf numFmtId="0" fontId="7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5" fillId="46" borderId="7" xfId="0" applyFont="1" applyFill="1" applyBorder="1" applyAlignment="1">
      <alignment vertical="center" wrapText="1"/>
    </xf>
    <xf numFmtId="2" fontId="0" fillId="0" borderId="4" xfId="0" applyNumberFormat="1" applyBorder="1"/>
    <xf numFmtId="1" fontId="6" fillId="47" borderId="4" xfId="0" applyNumberFormat="1" applyFont="1" applyFill="1" applyBorder="1" applyAlignment="1">
      <alignment horizontal="right" vertical="center" wrapText="1"/>
    </xf>
    <xf numFmtId="3" fontId="79" fillId="48" borderId="4" xfId="0" applyNumberFormat="1" applyFont="1" applyFill="1" applyBorder="1" applyAlignment="1">
      <alignment horizontal="left" vertical="center"/>
    </xf>
    <xf numFmtId="4" fontId="5" fillId="45" borderId="7" xfId="0" applyNumberFormat="1" applyFont="1" applyFill="1" applyBorder="1" applyAlignment="1">
      <alignment vertical="center" wrapText="1"/>
    </xf>
    <xf numFmtId="2" fontId="6" fillId="45" borderId="4" xfId="0" applyNumberFormat="1" applyFont="1" applyFill="1" applyBorder="1" applyAlignment="1">
      <alignment horizontal="right" vertical="center" wrapText="1"/>
    </xf>
    <xf numFmtId="0" fontId="46" fillId="0" borderId="4" xfId="0" applyFont="1" applyFill="1" applyBorder="1" applyAlignment="1">
      <alignment horizontal="left" vertical="center" wrapText="1"/>
    </xf>
    <xf numFmtId="0" fontId="69" fillId="44" borderId="0" xfId="0" quotePrefix="1" applyFont="1" applyFill="1" applyBorder="1"/>
    <xf numFmtId="0" fontId="84" fillId="0" borderId="0" xfId="0" applyFont="1" applyFill="1"/>
    <xf numFmtId="0" fontId="84" fillId="44" borderId="0" xfId="0" quotePrefix="1" applyFont="1" applyFill="1" applyBorder="1"/>
    <xf numFmtId="0" fontId="84" fillId="0" borderId="0" xfId="0" quotePrefix="1" applyFont="1" applyFill="1" applyBorder="1"/>
    <xf numFmtId="0" fontId="83" fillId="0" borderId="0" xfId="0" applyFont="1" applyFill="1"/>
    <xf numFmtId="0" fontId="85" fillId="0" borderId="0" xfId="0" applyFont="1"/>
    <xf numFmtId="0" fontId="73" fillId="0" borderId="4" xfId="0" applyFont="1" applyFill="1" applyBorder="1" applyAlignment="1">
      <alignment horizontal="center" vertical="center" wrapText="1"/>
    </xf>
    <xf numFmtId="0" fontId="86" fillId="43" borderId="4" xfId="0" applyFont="1" applyFill="1" applyBorder="1" applyAlignment="1">
      <alignment horizontal="center" vertical="center"/>
    </xf>
    <xf numFmtId="1" fontId="49" fillId="0" borderId="4" xfId="0" applyNumberFormat="1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51" fillId="45" borderId="0" xfId="0" applyFont="1" applyFill="1" applyAlignment="1">
      <alignment horizontal="center" vertical="center"/>
    </xf>
    <xf numFmtId="0" fontId="61" fillId="0" borderId="0" xfId="0" applyFont="1" applyBorder="1" applyAlignment="1">
      <alignment horizontal="center" vertical="center" wrapText="1"/>
    </xf>
    <xf numFmtId="3" fontId="59" fillId="49" borderId="0" xfId="0" applyNumberFormat="1" applyFont="1" applyFill="1" applyBorder="1" applyAlignment="1">
      <alignment horizontal="right" vertical="center" wrapText="1"/>
    </xf>
    <xf numFmtId="3" fontId="75" fillId="49" borderId="0" xfId="0" applyNumberFormat="1" applyFont="1" applyFill="1" applyBorder="1" applyAlignment="1">
      <alignment horizontal="right" vertical="center"/>
    </xf>
    <xf numFmtId="3" fontId="59" fillId="49" borderId="0" xfId="0" applyNumberFormat="1" applyFont="1" applyFill="1" applyBorder="1" applyAlignment="1">
      <alignment horizontal="right" vertical="center"/>
    </xf>
    <xf numFmtId="3" fontId="74" fillId="0" borderId="4" xfId="0" applyNumberFormat="1" applyFont="1" applyFill="1" applyBorder="1" applyAlignment="1">
      <alignment horizontal="center" vertical="center"/>
    </xf>
    <xf numFmtId="3" fontId="74" fillId="0" borderId="4" xfId="0" applyNumberFormat="1" applyFont="1" applyFill="1" applyBorder="1" applyAlignment="1">
      <alignment horizontal="center" vertical="center" wrapText="1"/>
    </xf>
    <xf numFmtId="0" fontId="86" fillId="0" borderId="4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center" vertical="center"/>
    </xf>
    <xf numFmtId="0" fontId="0" fillId="0" borderId="0" xfId="0" applyBorder="1"/>
    <xf numFmtId="2" fontId="0" fillId="0" borderId="0" xfId="0" applyNumberFormat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60" fillId="0" borderId="0" xfId="0" applyFont="1" applyFill="1" applyAlignment="1">
      <alignment horizontal="center" vertical="center"/>
    </xf>
    <xf numFmtId="2" fontId="40" fillId="0" borderId="4" xfId="0" applyNumberFormat="1" applyFont="1" applyFill="1" applyBorder="1" applyAlignment="1">
      <alignment vertical="center"/>
    </xf>
    <xf numFmtId="2" fontId="89" fillId="0" borderId="4" xfId="0" applyNumberFormat="1" applyFont="1" applyFill="1" applyBorder="1" applyAlignment="1">
      <alignment vertical="center"/>
    </xf>
    <xf numFmtId="2" fontId="2" fillId="0" borderId="4" xfId="0" applyNumberFormat="1" applyFont="1" applyFill="1" applyBorder="1"/>
    <xf numFmtId="167" fontId="4" fillId="0" borderId="4" xfId="0" applyNumberFormat="1" applyFont="1" applyFill="1" applyBorder="1" applyAlignment="1">
      <alignment vertical="center" wrapText="1"/>
    </xf>
    <xf numFmtId="2" fontId="6" fillId="0" borderId="4" xfId="0" applyNumberFormat="1" applyFont="1" applyFill="1" applyBorder="1" applyAlignment="1">
      <alignment vertical="center" wrapText="1"/>
    </xf>
    <xf numFmtId="0" fontId="44" fillId="0" borderId="4" xfId="0" applyFont="1" applyFill="1" applyBorder="1"/>
    <xf numFmtId="0" fontId="39" fillId="0" borderId="34" xfId="6" applyFont="1" applyFill="1" applyBorder="1" applyAlignment="1">
      <alignment horizontal="center" vertical="center"/>
    </xf>
    <xf numFmtId="0" fontId="39" fillId="0" borderId="31" xfId="6" applyFont="1" applyFill="1" applyBorder="1" applyAlignment="1">
      <alignment horizontal="center" vertical="center"/>
    </xf>
    <xf numFmtId="0" fontId="39" fillId="0" borderId="32" xfId="6" applyFont="1" applyFill="1" applyBorder="1" applyAlignment="1">
      <alignment horizontal="center" vertical="center"/>
    </xf>
    <xf numFmtId="0" fontId="47" fillId="0" borderId="22" xfId="6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" fontId="92" fillId="0" borderId="4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/>
    <xf numFmtId="0" fontId="1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right"/>
    </xf>
    <xf numFmtId="0" fontId="53" fillId="0" borderId="0" xfId="0" applyFont="1" applyFill="1" applyAlignment="1">
      <alignment horizontal="center"/>
    </xf>
    <xf numFmtId="2" fontId="5" fillId="0" borderId="4" xfId="0" applyNumberFormat="1" applyFont="1" applyFill="1" applyBorder="1" applyAlignment="1">
      <alignment vertical="center" wrapText="1"/>
    </xf>
    <xf numFmtId="0" fontId="56" fillId="0" borderId="0" xfId="0" applyFont="1" applyFill="1"/>
    <xf numFmtId="0" fontId="55" fillId="0" borderId="0" xfId="0" applyFont="1" applyFill="1"/>
    <xf numFmtId="4" fontId="5" fillId="0" borderId="7" xfId="0" applyNumberFormat="1" applyFont="1" applyFill="1" applyBorder="1" applyAlignment="1">
      <alignment vertical="center" wrapText="1"/>
    </xf>
    <xf numFmtId="0" fontId="82" fillId="0" borderId="18" xfId="0" applyFont="1" applyFill="1" applyBorder="1" applyAlignment="1">
      <alignment horizontal="right" vertical="center" wrapText="1"/>
    </xf>
    <xf numFmtId="0" fontId="54" fillId="0" borderId="0" xfId="0" applyFont="1" applyFill="1"/>
    <xf numFmtId="0" fontId="0" fillId="0" borderId="0" xfId="0" applyFont="1" applyFill="1"/>
    <xf numFmtId="2" fontId="4" fillId="0" borderId="7" xfId="0" applyNumberFormat="1" applyFont="1" applyFill="1" applyBorder="1" applyAlignment="1">
      <alignment vertical="center" wrapText="1"/>
    </xf>
    <xf numFmtId="17" fontId="4" fillId="0" borderId="4" xfId="0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92" fillId="0" borderId="4" xfId="0" applyFont="1" applyFill="1" applyBorder="1" applyAlignment="1">
      <alignment horizontal="right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right" wrapText="1"/>
    </xf>
    <xf numFmtId="2" fontId="44" fillId="0" borderId="4" xfId="0" applyNumberFormat="1" applyFont="1" applyFill="1" applyBorder="1" applyAlignment="1">
      <alignment horizontal="center"/>
    </xf>
    <xf numFmtId="167" fontId="49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right"/>
    </xf>
    <xf numFmtId="167" fontId="44" fillId="0" borderId="4" xfId="0" applyNumberFormat="1" applyFont="1" applyFill="1" applyBorder="1" applyAlignment="1">
      <alignment horizontal="center"/>
    </xf>
    <xf numFmtId="0" fontId="0" fillId="0" borderId="17" xfId="0" applyFill="1" applyBorder="1"/>
    <xf numFmtId="0" fontId="0" fillId="0" borderId="1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0" fontId="2" fillId="0" borderId="0" xfId="0" applyFont="1" applyFill="1"/>
    <xf numFmtId="2" fontId="80" fillId="0" borderId="4" xfId="0" applyNumberFormat="1" applyFont="1" applyFill="1" applyBorder="1" applyAlignment="1">
      <alignment vertical="center" wrapText="1"/>
    </xf>
    <xf numFmtId="2" fontId="0" fillId="0" borderId="0" xfId="0" applyNumberFormat="1" applyFill="1"/>
    <xf numFmtId="0" fontId="81" fillId="0" borderId="0" xfId="0" applyFont="1" applyFill="1" applyBorder="1" applyAlignment="1">
      <alignment wrapText="1"/>
    </xf>
    <xf numFmtId="0" fontId="62" fillId="0" borderId="4" xfId="0" applyFont="1" applyFill="1" applyBorder="1" applyAlignment="1">
      <alignment horizontal="center" vertical="center" wrapText="1"/>
    </xf>
    <xf numFmtId="0" fontId="75" fillId="0" borderId="4" xfId="0" applyFont="1" applyFill="1" applyBorder="1" applyAlignment="1">
      <alignment horizontal="center" vertical="center"/>
    </xf>
    <xf numFmtId="0" fontId="75" fillId="0" borderId="4" xfId="0" applyFont="1" applyFill="1" applyBorder="1" applyAlignment="1">
      <alignment vertical="center" wrapText="1"/>
    </xf>
    <xf numFmtId="3" fontId="75" fillId="0" borderId="4" xfId="0" applyNumberFormat="1" applyFont="1" applyFill="1" applyBorder="1" applyAlignment="1">
      <alignment vertical="center"/>
    </xf>
    <xf numFmtId="0" fontId="59" fillId="0" borderId="4" xfId="0" quotePrefix="1" applyFont="1" applyFill="1" applyBorder="1" applyAlignment="1">
      <alignment horizontal="center" vertical="center"/>
    </xf>
    <xf numFmtId="0" fontId="76" fillId="0" borderId="4" xfId="0" applyFont="1" applyFill="1" applyBorder="1" applyAlignment="1">
      <alignment horizontal="center" vertical="center"/>
    </xf>
    <xf numFmtId="0" fontId="59" fillId="0" borderId="4" xfId="0" applyFont="1" applyFill="1" applyBorder="1" applyAlignment="1">
      <alignment horizontal="center" vertical="center" wrapText="1"/>
    </xf>
    <xf numFmtId="3" fontId="59" fillId="0" borderId="4" xfId="0" applyNumberFormat="1" applyFont="1" applyFill="1" applyBorder="1" applyAlignment="1">
      <alignment horizontal="right" vertical="center" wrapText="1"/>
    </xf>
    <xf numFmtId="3" fontId="76" fillId="0" borderId="4" xfId="0" applyNumberFormat="1" applyFont="1" applyFill="1" applyBorder="1" applyAlignment="1">
      <alignment vertical="center"/>
    </xf>
    <xf numFmtId="3" fontId="59" fillId="0" borderId="4" xfId="0" applyNumberFormat="1" applyFont="1" applyFill="1" applyBorder="1" applyAlignment="1">
      <alignment horizontal="center" vertical="center" wrapText="1"/>
    </xf>
    <xf numFmtId="0" fontId="76" fillId="0" borderId="4" xfId="0" applyFont="1" applyFill="1" applyBorder="1" applyAlignment="1">
      <alignment vertical="center" wrapText="1"/>
    </xf>
    <xf numFmtId="3" fontId="75" fillId="0" borderId="4" xfId="0" applyNumberFormat="1" applyFont="1" applyFill="1" applyBorder="1" applyAlignment="1">
      <alignment horizontal="right" vertical="center"/>
    </xf>
    <xf numFmtId="0" fontId="59" fillId="0" borderId="4" xfId="0" applyFont="1" applyFill="1" applyBorder="1" applyAlignment="1">
      <alignment horizontal="center" vertical="center"/>
    </xf>
    <xf numFmtId="0" fontId="59" fillId="0" borderId="5" xfId="0" quotePrefix="1" applyFont="1" applyFill="1" applyBorder="1" applyAlignment="1">
      <alignment horizontal="center" vertical="center"/>
    </xf>
    <xf numFmtId="0" fontId="59" fillId="0" borderId="5" xfId="0" applyFont="1" applyFill="1" applyBorder="1" applyAlignment="1">
      <alignment horizontal="center" vertical="center"/>
    </xf>
    <xf numFmtId="0" fontId="59" fillId="0" borderId="4" xfId="0" applyFont="1" applyFill="1" applyBorder="1" applyAlignment="1">
      <alignment vertical="center" wrapText="1"/>
    </xf>
    <xf numFmtId="3" fontId="59" fillId="0" borderId="4" xfId="0" applyNumberFormat="1" applyFont="1" applyFill="1" applyBorder="1" applyAlignment="1">
      <alignment vertical="center"/>
    </xf>
    <xf numFmtId="3" fontId="59" fillId="0" borderId="4" xfId="0" applyNumberFormat="1" applyFont="1" applyFill="1" applyBorder="1" applyAlignment="1">
      <alignment horizontal="right" vertical="center"/>
    </xf>
    <xf numFmtId="0" fontId="59" fillId="0" borderId="4" xfId="314" quotePrefix="1" applyFont="1" applyFill="1" applyBorder="1" applyAlignment="1">
      <alignment horizontal="center" vertical="center"/>
    </xf>
    <xf numFmtId="0" fontId="59" fillId="0" borderId="4" xfId="314" quotePrefix="1" applyFont="1" applyFill="1" applyBorder="1" applyAlignment="1">
      <alignment vertical="center" wrapText="1"/>
    </xf>
    <xf numFmtId="3" fontId="59" fillId="0" borderId="4" xfId="314" applyNumberFormat="1" applyFont="1" applyFill="1" applyBorder="1" applyAlignment="1">
      <alignment vertical="center"/>
    </xf>
    <xf numFmtId="1" fontId="59" fillId="0" borderId="4" xfId="0" applyNumberFormat="1" applyFont="1" applyFill="1" applyBorder="1" applyAlignment="1">
      <alignment horizontal="center" vertical="center" wrapText="1"/>
    </xf>
    <xf numFmtId="0" fontId="53" fillId="0" borderId="4" xfId="0" applyFont="1" applyFill="1" applyBorder="1" applyAlignment="1">
      <alignment horizontal="center" vertical="center" wrapText="1"/>
    </xf>
    <xf numFmtId="3" fontId="77" fillId="0" borderId="4" xfId="0" applyNumberFormat="1" applyFont="1" applyFill="1" applyBorder="1" applyAlignment="1">
      <alignment vertical="center"/>
    </xf>
    <xf numFmtId="1" fontId="53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3" fontId="79" fillId="0" borderId="4" xfId="0" applyNumberFormat="1" applyFont="1" applyFill="1" applyBorder="1" applyAlignment="1">
      <alignment horizontal="left" vertical="center"/>
    </xf>
    <xf numFmtId="1" fontId="78" fillId="0" borderId="4" xfId="0" applyNumberFormat="1" applyFont="1" applyFill="1" applyBorder="1" applyAlignment="1">
      <alignment horizontal="left" vertical="center" wrapText="1"/>
    </xf>
    <xf numFmtId="3" fontId="79" fillId="0" borderId="4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vertical="center" wrapText="1"/>
    </xf>
    <xf numFmtId="4" fontId="93" fillId="0" borderId="4" xfId="0" applyNumberFormat="1" applyFont="1" applyFill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1" fontId="49" fillId="0" borderId="0" xfId="0" applyNumberFormat="1" applyFont="1" applyFill="1" applyBorder="1" applyAlignment="1">
      <alignment horizontal="left" vertical="center"/>
    </xf>
    <xf numFmtId="0" fontId="57" fillId="0" borderId="0" xfId="0" applyFont="1"/>
    <xf numFmtId="14" fontId="59" fillId="50" borderId="4" xfId="0" quotePrefix="1" applyNumberFormat="1" applyFont="1" applyFill="1" applyBorder="1" applyAlignment="1">
      <alignment horizontal="center" vertical="center"/>
    </xf>
    <xf numFmtId="14" fontId="59" fillId="50" borderId="4" xfId="314" quotePrefix="1" applyNumberFormat="1" applyFont="1" applyFill="1" applyBorder="1" applyAlignment="1">
      <alignment horizontal="center" vertical="center"/>
    </xf>
    <xf numFmtId="0" fontId="94" fillId="0" borderId="4" xfId="0" applyNumberFormat="1" applyFont="1" applyFill="1" applyBorder="1" applyAlignment="1">
      <alignment horizontal="left" vertical="center"/>
    </xf>
    <xf numFmtId="171" fontId="75" fillId="0" borderId="0" xfId="0" applyNumberFormat="1" applyFont="1" applyFill="1" applyBorder="1" applyAlignment="1">
      <alignment horizontal="right" vertical="center"/>
    </xf>
    <xf numFmtId="4" fontId="0" fillId="0" borderId="4" xfId="0" applyNumberFormat="1" applyBorder="1"/>
    <xf numFmtId="167" fontId="49" fillId="0" borderId="37" xfId="0" applyNumberFormat="1" applyFont="1" applyFill="1" applyBorder="1"/>
    <xf numFmtId="0" fontId="41" fillId="0" borderId="24" xfId="0" applyFont="1" applyFill="1" applyBorder="1" applyAlignment="1">
      <alignment horizontal="center" vertical="center"/>
    </xf>
    <xf numFmtId="0" fontId="41" fillId="0" borderId="40" xfId="0" applyFont="1" applyFill="1" applyBorder="1" applyAlignment="1">
      <alignment horizontal="center" vertical="center"/>
    </xf>
    <xf numFmtId="14" fontId="41" fillId="0" borderId="40" xfId="0" applyNumberFormat="1" applyFont="1" applyFill="1" applyBorder="1" applyAlignment="1">
      <alignment horizontal="center" vertical="center"/>
    </xf>
    <xf numFmtId="0" fontId="41" fillId="0" borderId="25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/>
    </xf>
    <xf numFmtId="0" fontId="41" fillId="0" borderId="41" xfId="0" applyFont="1" applyFill="1" applyBorder="1" applyAlignment="1">
      <alignment vertical="center"/>
    </xf>
    <xf numFmtId="3" fontId="41" fillId="0" borderId="41" xfId="0" applyNumberFormat="1" applyFont="1" applyFill="1" applyBorder="1" applyAlignment="1">
      <alignment vertical="center"/>
    </xf>
    <xf numFmtId="14" fontId="10" fillId="0" borderId="41" xfId="0" applyNumberFormat="1" applyFont="1" applyFill="1" applyBorder="1" applyAlignment="1">
      <alignment horizontal="center" vertical="center"/>
    </xf>
    <xf numFmtId="3" fontId="41" fillId="0" borderId="29" xfId="0" applyNumberFormat="1" applyFont="1" applyFill="1" applyBorder="1" applyAlignment="1">
      <alignment vertical="center"/>
    </xf>
    <xf numFmtId="0" fontId="95" fillId="0" borderId="4" xfId="0" applyFont="1" applyFill="1" applyBorder="1" applyAlignment="1">
      <alignment horizontal="center" vertical="center" wrapText="1"/>
    </xf>
    <xf numFmtId="1" fontId="59" fillId="0" borderId="4" xfId="369" quotePrefix="1" applyNumberFormat="1" applyFont="1" applyFill="1" applyBorder="1" applyAlignment="1">
      <alignment horizontal="center" vertical="center"/>
    </xf>
    <xf numFmtId="0" fontId="59" fillId="0" borderId="4" xfId="369" applyFont="1" applyFill="1" applyBorder="1" applyAlignment="1">
      <alignment horizontal="center" vertical="center" wrapText="1"/>
    </xf>
    <xf numFmtId="3" fontId="96" fillId="0" borderId="4" xfId="0" applyNumberFormat="1" applyFont="1" applyFill="1" applyBorder="1" applyAlignment="1">
      <alignment horizontal="right" vertical="center" wrapText="1"/>
    </xf>
    <xf numFmtId="0" fontId="59" fillId="0" borderId="4" xfId="369" applyFont="1" applyFill="1" applyBorder="1" applyAlignment="1">
      <alignment horizontal="center" vertical="center"/>
    </xf>
    <xf numFmtId="0" fontId="59" fillId="0" borderId="5" xfId="369" applyFont="1" applyFill="1" applyBorder="1" applyAlignment="1">
      <alignment horizontal="center" vertical="center"/>
    </xf>
    <xf numFmtId="4" fontId="59" fillId="0" borderId="4" xfId="0" applyNumberFormat="1" applyFont="1" applyFill="1" applyBorder="1" applyAlignment="1">
      <alignment horizontal="center" vertical="center" wrapText="1"/>
    </xf>
    <xf numFmtId="1" fontId="75" fillId="0" borderId="4" xfId="369" applyNumberFormat="1" applyFont="1" applyFill="1" applyBorder="1" applyAlignment="1">
      <alignment horizontal="center" vertical="center"/>
    </xf>
    <xf numFmtId="1" fontId="0" fillId="0" borderId="4" xfId="0" quotePrefix="1" applyNumberFormat="1" applyFill="1" applyBorder="1" applyAlignment="1">
      <alignment horizontal="center" vertical="center"/>
    </xf>
    <xf numFmtId="0" fontId="59" fillId="0" borderId="4" xfId="369" quotePrefix="1" applyFont="1" applyFill="1" applyBorder="1" applyAlignment="1">
      <alignment horizontal="center" vertical="center"/>
    </xf>
    <xf numFmtId="3" fontId="97" fillId="0" borderId="4" xfId="0" applyNumberFormat="1" applyFont="1" applyFill="1" applyBorder="1" applyAlignment="1">
      <alignment horizontal="right" vertical="center"/>
    </xf>
    <xf numFmtId="1" fontId="0" fillId="0" borderId="4" xfId="0" quotePrefix="1" applyNumberFormat="1" applyFill="1" applyBorder="1" applyAlignment="1">
      <alignment horizontal="center" vertical="center" wrapText="1"/>
    </xf>
    <xf numFmtId="0" fontId="0" fillId="0" borderId="4" xfId="0" quotePrefix="1" applyFill="1" applyBorder="1" applyAlignment="1">
      <alignment horizontal="center" vertical="center" wrapText="1"/>
    </xf>
    <xf numFmtId="3" fontId="79" fillId="0" borderId="4" xfId="0" applyNumberFormat="1" applyFont="1" applyFill="1" applyBorder="1" applyAlignment="1">
      <alignment vertical="center"/>
    </xf>
    <xf numFmtId="0" fontId="61" fillId="0" borderId="7" xfId="0" applyFont="1" applyFill="1" applyBorder="1" applyAlignment="1">
      <alignment horizontal="center" vertical="center" wrapText="1"/>
    </xf>
    <xf numFmtId="0" fontId="70" fillId="0" borderId="7" xfId="0" applyFont="1" applyFill="1" applyBorder="1" applyAlignment="1">
      <alignment horizontal="center" vertical="center" wrapText="1"/>
    </xf>
    <xf numFmtId="0" fontId="62" fillId="0" borderId="7" xfId="0" applyFont="1" applyFill="1" applyBorder="1" applyAlignment="1">
      <alignment horizontal="center" vertical="center" wrapText="1"/>
    </xf>
    <xf numFmtId="0" fontId="87" fillId="0" borderId="3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63" fillId="0" borderId="4" xfId="314" quotePrefix="1" applyFont="1" applyFill="1" applyBorder="1" applyAlignment="1">
      <alignment vertical="center" wrapText="1"/>
    </xf>
    <xf numFmtId="3" fontId="0" fillId="0" borderId="4" xfId="0" applyNumberFormat="1" applyFont="1" applyFill="1" applyBorder="1" applyAlignment="1">
      <alignment horizontal="right" vertical="center"/>
    </xf>
    <xf numFmtId="3" fontId="0" fillId="0" borderId="4" xfId="0" applyNumberFormat="1" applyFont="1" applyFill="1" applyBorder="1" applyAlignment="1">
      <alignment horizontal="right" vertical="center" wrapText="1"/>
    </xf>
    <xf numFmtId="3" fontId="2" fillId="0" borderId="4" xfId="0" applyNumberFormat="1" applyFont="1" applyFill="1" applyBorder="1" applyAlignment="1">
      <alignment horizontal="right" vertical="center"/>
    </xf>
    <xf numFmtId="3" fontId="100" fillId="0" borderId="4" xfId="0" applyNumberFormat="1" applyFont="1" applyFill="1" applyBorder="1" applyAlignment="1">
      <alignment horizontal="right" vertical="center" wrapText="1"/>
    </xf>
    <xf numFmtId="3" fontId="88" fillId="0" borderId="4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wrapText="1"/>
    </xf>
    <xf numFmtId="0" fontId="64" fillId="0" borderId="4" xfId="0" applyFont="1" applyFill="1" applyBorder="1" applyAlignment="1">
      <alignment vertical="center" wrapText="1"/>
    </xf>
    <xf numFmtId="0" fontId="77" fillId="0" borderId="4" xfId="0" applyFont="1" applyFill="1" applyBorder="1" applyAlignment="1">
      <alignment vertical="center" wrapText="1"/>
    </xf>
    <xf numFmtId="167" fontId="53" fillId="0" borderId="4" xfId="0" applyNumberFormat="1" applyFont="1" applyFill="1" applyBorder="1" applyAlignment="1">
      <alignment vertical="center" wrapText="1"/>
    </xf>
    <xf numFmtId="0" fontId="2" fillId="0" borderId="36" xfId="0" applyFont="1" applyFill="1" applyBorder="1" applyAlignment="1">
      <alignment horizontal="left"/>
    </xf>
    <xf numFmtId="0" fontId="71" fillId="0" borderId="6" xfId="0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left"/>
    </xf>
    <xf numFmtId="0" fontId="49" fillId="0" borderId="4" xfId="0" applyFont="1" applyFill="1" applyBorder="1" applyAlignment="1">
      <alignment horizontal="right" vertical="center"/>
    </xf>
    <xf numFmtId="0" fontId="49" fillId="0" borderId="4" xfId="0" applyFont="1" applyFill="1" applyBorder="1" applyAlignment="1">
      <alignment horizontal="right" vertical="center" wrapText="1"/>
    </xf>
    <xf numFmtId="3" fontId="49" fillId="0" borderId="4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2" fontId="0" fillId="0" borderId="4" xfId="0" applyNumberFormat="1" applyFill="1" applyBorder="1"/>
    <xf numFmtId="1" fontId="4" fillId="0" borderId="4" xfId="0" applyNumberFormat="1" applyFont="1" applyFill="1" applyBorder="1" applyAlignment="1">
      <alignment vertical="center" wrapText="1"/>
    </xf>
    <xf numFmtId="2" fontId="102" fillId="0" borderId="4" xfId="0" applyNumberFormat="1" applyFont="1" applyFill="1" applyBorder="1" applyAlignment="1">
      <alignment horizontal="right" vertical="center"/>
    </xf>
    <xf numFmtId="4" fontId="0" fillId="0" borderId="0" xfId="0" applyNumberFormat="1" applyFill="1"/>
    <xf numFmtId="0" fontId="2" fillId="0" borderId="4" xfId="0" applyFont="1" applyFill="1" applyBorder="1" applyAlignment="1">
      <alignment wrapText="1"/>
    </xf>
    <xf numFmtId="3" fontId="103" fillId="0" borderId="4" xfId="314" applyNumberFormat="1" applyFont="1" applyFill="1" applyBorder="1" applyAlignment="1">
      <alignment vertical="center"/>
    </xf>
    <xf numFmtId="0" fontId="103" fillId="0" borderId="4" xfId="314" quotePrefix="1" applyFont="1" applyFill="1" applyBorder="1" applyAlignment="1">
      <alignment horizontal="center" vertical="center"/>
    </xf>
    <xf numFmtId="1" fontId="103" fillId="0" borderId="4" xfId="0" applyNumberFormat="1" applyFont="1" applyFill="1" applyBorder="1" applyAlignment="1">
      <alignment horizontal="center" vertical="center" wrapText="1"/>
    </xf>
    <xf numFmtId="1" fontId="104" fillId="0" borderId="4" xfId="0" quotePrefix="1" applyNumberFormat="1" applyFont="1" applyFill="1" applyBorder="1" applyAlignment="1">
      <alignment horizontal="center" vertical="center"/>
    </xf>
    <xf numFmtId="0" fontId="103" fillId="0" borderId="4" xfId="369" applyFont="1" applyFill="1" applyBorder="1" applyAlignment="1">
      <alignment horizontal="center" vertical="center" wrapText="1"/>
    </xf>
    <xf numFmtId="3" fontId="103" fillId="0" borderId="4" xfId="0" applyNumberFormat="1" applyFont="1" applyFill="1" applyBorder="1" applyAlignment="1">
      <alignment horizontal="right" vertical="center"/>
    </xf>
    <xf numFmtId="3" fontId="103" fillId="0" borderId="4" xfId="0" applyNumberFormat="1" applyFont="1" applyFill="1" applyBorder="1" applyAlignment="1">
      <alignment vertical="center"/>
    </xf>
    <xf numFmtId="3" fontId="105" fillId="0" borderId="4" xfId="0" applyNumberFormat="1" applyFont="1" applyFill="1" applyBorder="1" applyAlignment="1">
      <alignment horizontal="right" vertical="center" wrapText="1"/>
    </xf>
    <xf numFmtId="3" fontId="103" fillId="0" borderId="4" xfId="0" applyNumberFormat="1" applyFont="1" applyFill="1" applyBorder="1" applyAlignment="1">
      <alignment horizontal="right" vertical="center" wrapText="1"/>
    </xf>
    <xf numFmtId="4" fontId="0" fillId="0" borderId="4" xfId="0" applyNumberFormat="1" applyFont="1" applyFill="1" applyBorder="1" applyAlignment="1">
      <alignment horizontal="right" vertical="center"/>
    </xf>
    <xf numFmtId="0" fontId="103" fillId="0" borderId="4" xfId="314" quotePrefix="1" applyFont="1" applyFill="1" applyBorder="1" applyAlignment="1">
      <alignment vertical="center" wrapText="1"/>
    </xf>
    <xf numFmtId="3" fontId="106" fillId="0" borderId="4" xfId="0" applyNumberFormat="1" applyFont="1" applyFill="1" applyBorder="1" applyAlignment="1">
      <alignment horizontal="center" vertical="center" wrapText="1"/>
    </xf>
    <xf numFmtId="3" fontId="103" fillId="0" borderId="4" xfId="0" applyNumberFormat="1" applyFont="1" applyFill="1" applyBorder="1" applyAlignment="1">
      <alignment horizontal="center" vertical="center" wrapText="1"/>
    </xf>
    <xf numFmtId="0" fontId="10" fillId="0" borderId="26" xfId="314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 wrapText="1"/>
    </xf>
    <xf numFmtId="3" fontId="10" fillId="0" borderId="4" xfId="0" applyNumberFormat="1" applyFont="1" applyFill="1" applyBorder="1" applyAlignment="1">
      <alignment vertical="center"/>
    </xf>
    <xf numFmtId="14" fontId="10" fillId="0" borderId="4" xfId="314" applyNumberFormat="1" applyFont="1" applyFill="1" applyBorder="1" applyAlignment="1">
      <alignment horizontal="center" vertical="center"/>
    </xf>
    <xf numFmtId="3" fontId="10" fillId="0" borderId="27" xfId="0" applyNumberFormat="1" applyFont="1" applyFill="1" applyBorder="1" applyAlignment="1">
      <alignment vertical="center"/>
    </xf>
    <xf numFmtId="43" fontId="10" fillId="0" borderId="4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14" fontId="10" fillId="0" borderId="4" xfId="0" applyNumberFormat="1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center"/>
    </xf>
    <xf numFmtId="0" fontId="41" fillId="0" borderId="4" xfId="0" applyFont="1" applyFill="1" applyBorder="1" applyAlignment="1">
      <alignment vertical="center" wrapText="1"/>
    </xf>
    <xf numFmtId="3" fontId="57" fillId="0" borderId="4" xfId="0" applyNumberFormat="1" applyFont="1" applyFill="1" applyBorder="1" applyAlignment="1">
      <alignment vertical="center"/>
    </xf>
    <xf numFmtId="14" fontId="41" fillId="0" borderId="4" xfId="0" applyNumberFormat="1" applyFont="1" applyFill="1" applyBorder="1" applyAlignment="1">
      <alignment horizontal="center" vertical="center"/>
    </xf>
    <xf numFmtId="3" fontId="57" fillId="0" borderId="27" xfId="0" applyNumberFormat="1" applyFont="1" applyFill="1" applyBorder="1" applyAlignment="1">
      <alignment vertical="center"/>
    </xf>
    <xf numFmtId="0" fontId="2" fillId="0" borderId="0" xfId="0" applyFont="1" applyFill="1" applyAlignment="1"/>
    <xf numFmtId="168" fontId="0" fillId="0" borderId="0" xfId="0" applyNumberFormat="1" applyFill="1"/>
    <xf numFmtId="0" fontId="0" fillId="0" borderId="4" xfId="0" applyFill="1" applyBorder="1" applyAlignment="1">
      <alignment horizontal="center"/>
    </xf>
    <xf numFmtId="49" fontId="41" fillId="0" borderId="4" xfId="0" applyNumberFormat="1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49" fontId="101" fillId="0" borderId="4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left" vertical="center" wrapText="1"/>
    </xf>
    <xf numFmtId="2" fontId="59" fillId="0" borderId="4" xfId="0" applyNumberFormat="1" applyFont="1" applyFill="1" applyBorder="1" applyAlignment="1">
      <alignment horizontal="center" vertical="center"/>
    </xf>
    <xf numFmtId="49" fontId="101" fillId="0" borderId="4" xfId="0" applyNumberFormat="1" applyFont="1" applyFill="1" applyBorder="1" applyAlignment="1">
      <alignment horizontal="center" vertical="center"/>
    </xf>
    <xf numFmtId="0" fontId="59" fillId="0" borderId="7" xfId="0" applyFont="1" applyFill="1" applyBorder="1" applyAlignment="1">
      <alignment horizontal="center" vertical="center"/>
    </xf>
    <xf numFmtId="43" fontId="49" fillId="0" borderId="4" xfId="367" applyFont="1" applyFill="1" applyBorder="1"/>
    <xf numFmtId="43" fontId="2" fillId="0" borderId="4" xfId="367" applyFont="1" applyFill="1" applyBorder="1" applyAlignment="1">
      <alignment horizontal="right" vertical="center"/>
    </xf>
    <xf numFmtId="2" fontId="49" fillId="0" borderId="4" xfId="0" applyNumberFormat="1" applyFont="1" applyFill="1" applyBorder="1" applyAlignment="1">
      <alignment horizontal="center" vertical="center"/>
    </xf>
    <xf numFmtId="4" fontId="58" fillId="0" borderId="24" xfId="0" applyNumberFormat="1" applyFont="1" applyFill="1" applyBorder="1" applyAlignment="1">
      <alignment horizontal="center" vertical="center"/>
    </xf>
    <xf numFmtId="0" fontId="39" fillId="0" borderId="24" xfId="6" applyFont="1" applyFill="1" applyBorder="1" applyAlignment="1">
      <alignment vertical="center" wrapText="1"/>
    </xf>
    <xf numFmtId="2" fontId="60" fillId="0" borderId="40" xfId="0" applyNumberFormat="1" applyFont="1" applyFill="1" applyBorder="1" applyAlignment="1">
      <alignment horizontal="center" vertical="center"/>
    </xf>
    <xf numFmtId="2" fontId="91" fillId="0" borderId="25" xfId="0" applyNumberFormat="1" applyFont="1" applyFill="1" applyBorder="1" applyAlignment="1">
      <alignment horizontal="center" vertical="center"/>
    </xf>
    <xf numFmtId="4" fontId="58" fillId="0" borderId="26" xfId="0" applyNumberFormat="1" applyFont="1" applyFill="1" applyBorder="1" applyAlignment="1">
      <alignment horizontal="center" vertical="center"/>
    </xf>
    <xf numFmtId="0" fontId="39" fillId="0" borderId="26" xfId="6" applyFont="1" applyFill="1" applyBorder="1" applyAlignment="1">
      <alignment vertical="center" wrapText="1"/>
    </xf>
    <xf numFmtId="2" fontId="60" fillId="0" borderId="5" xfId="0" applyNumberFormat="1" applyFont="1" applyFill="1" applyBorder="1" applyAlignment="1">
      <alignment horizontal="center" vertical="center"/>
    </xf>
    <xf numFmtId="2" fontId="90" fillId="0" borderId="27" xfId="0" applyNumberFormat="1" applyFont="1" applyFill="1" applyBorder="1" applyAlignment="1">
      <alignment horizontal="center" vertical="center"/>
    </xf>
    <xf numFmtId="4" fontId="58" fillId="0" borderId="28" xfId="0" applyNumberFormat="1" applyFont="1" applyFill="1" applyBorder="1" applyAlignment="1">
      <alignment horizontal="center" vertical="center"/>
    </xf>
    <xf numFmtId="0" fontId="47" fillId="0" borderId="42" xfId="6" applyFont="1" applyFill="1" applyBorder="1" applyAlignment="1">
      <alignment vertical="center" wrapText="1"/>
    </xf>
    <xf numFmtId="2" fontId="60" fillId="0" borderId="43" xfId="0" applyNumberFormat="1" applyFont="1" applyFill="1" applyBorder="1" applyAlignment="1">
      <alignment horizontal="center" vertical="center"/>
    </xf>
    <xf numFmtId="167" fontId="90" fillId="0" borderId="29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horizontal="center"/>
    </xf>
    <xf numFmtId="0" fontId="4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1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0" fontId="47" fillId="0" borderId="24" xfId="6" applyFont="1" applyFill="1" applyBorder="1" applyAlignment="1">
      <alignment horizontal="center" vertical="center" wrapText="1"/>
    </xf>
    <xf numFmtId="0" fontId="47" fillId="0" borderId="28" xfId="6" applyFont="1" applyFill="1" applyBorder="1" applyAlignment="1">
      <alignment horizontal="center" vertical="center" wrapText="1"/>
    </xf>
    <xf numFmtId="0" fontId="47" fillId="0" borderId="25" xfId="6" applyFont="1" applyFill="1" applyBorder="1" applyAlignment="1">
      <alignment horizontal="center" vertical="center" wrapText="1"/>
    </xf>
    <xf numFmtId="0" fontId="47" fillId="0" borderId="29" xfId="6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49" fillId="0" borderId="31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49" fillId="0" borderId="38" xfId="0" applyFont="1" applyFill="1" applyBorder="1" applyAlignment="1">
      <alignment horizontal="center"/>
    </xf>
    <xf numFmtId="0" fontId="49" fillId="0" borderId="39" xfId="0" applyFont="1" applyFill="1" applyBorder="1" applyAlignment="1">
      <alignment horizontal="center"/>
    </xf>
    <xf numFmtId="0" fontId="47" fillId="0" borderId="35" xfId="6" applyFont="1" applyFill="1" applyBorder="1" applyAlignment="1">
      <alignment horizontal="center"/>
    </xf>
    <xf numFmtId="0" fontId="59" fillId="0" borderId="0" xfId="0" applyFont="1" applyFill="1" applyAlignment="1">
      <alignment horizontal="left" wrapText="1"/>
    </xf>
    <xf numFmtId="0" fontId="90" fillId="0" borderId="3" xfId="0" applyFont="1" applyFill="1" applyBorder="1" applyAlignment="1">
      <alignment horizontal="center" vertical="center" wrapText="1"/>
    </xf>
    <xf numFmtId="0" fontId="90" fillId="0" borderId="23" xfId="0" applyFont="1" applyFill="1" applyBorder="1" applyAlignment="1">
      <alignment horizontal="center" vertical="center" wrapText="1"/>
    </xf>
    <xf numFmtId="0" fontId="90" fillId="0" borderId="2" xfId="0" applyFont="1" applyFill="1" applyBorder="1" applyAlignment="1">
      <alignment horizontal="center" vertical="center" wrapText="1"/>
    </xf>
    <xf numFmtId="0" fontId="90" fillId="0" borderId="20" xfId="0" applyFont="1" applyFill="1" applyBorder="1" applyAlignment="1">
      <alignment horizontal="center" vertical="center" wrapText="1"/>
    </xf>
    <xf numFmtId="0" fontId="90" fillId="0" borderId="21" xfId="0" applyFont="1" applyFill="1" applyBorder="1" applyAlignment="1">
      <alignment horizontal="center" vertical="center" wrapText="1"/>
    </xf>
    <xf numFmtId="0" fontId="78" fillId="0" borderId="4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 vertical="center"/>
    </xf>
    <xf numFmtId="3" fontId="74" fillId="0" borderId="17" xfId="0" applyNumberFormat="1" applyFont="1" applyFill="1" applyBorder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</cellXfs>
  <cellStyles count="370">
    <cellStyle name=" 1" xfId="53"/>
    <cellStyle name="20% - Accent1" xfId="54"/>
    <cellStyle name="20% - Accent2" xfId="55"/>
    <cellStyle name="20% - Accent3" xfId="56"/>
    <cellStyle name="20% - Accent4" xfId="57"/>
    <cellStyle name="20% - Accent5" xfId="58"/>
    <cellStyle name="20% - Accent6" xfId="59"/>
    <cellStyle name="20% - Акцент1 10" xfId="60"/>
    <cellStyle name="20% - Акцент1 11" xfId="61"/>
    <cellStyle name="20% - Акцент1 12" xfId="62"/>
    <cellStyle name="20% - Акцент1 13" xfId="63"/>
    <cellStyle name="20% - Акцент1 14" xfId="64"/>
    <cellStyle name="20% - Акцент1 15" xfId="65"/>
    <cellStyle name="20% - Акцент1 16" xfId="66"/>
    <cellStyle name="20% - Акцент1 17" xfId="67"/>
    <cellStyle name="20% - Акцент1 18" xfId="68"/>
    <cellStyle name="20% - Акцент1 19" xfId="69"/>
    <cellStyle name="20% - Акцент1 2" xfId="8"/>
    <cellStyle name="20% - Акцент1 3" xfId="9"/>
    <cellStyle name="20% - Акцент1 4" xfId="10"/>
    <cellStyle name="20% - Акцент1 5" xfId="70"/>
    <cellStyle name="20% - Акцент1 6" xfId="71"/>
    <cellStyle name="20% - Акцент1 7" xfId="72"/>
    <cellStyle name="20% - Акцент1 8" xfId="73"/>
    <cellStyle name="20% - Акцент1 9" xfId="74"/>
    <cellStyle name="20% - Акцент2 10" xfId="75"/>
    <cellStyle name="20% - Акцент2 11" xfId="76"/>
    <cellStyle name="20% - Акцент2 12" xfId="77"/>
    <cellStyle name="20% - Акцент2 13" xfId="78"/>
    <cellStyle name="20% - Акцент2 14" xfId="79"/>
    <cellStyle name="20% - Акцент2 15" xfId="80"/>
    <cellStyle name="20% - Акцент2 16" xfId="81"/>
    <cellStyle name="20% - Акцент2 17" xfId="82"/>
    <cellStyle name="20% - Акцент2 18" xfId="83"/>
    <cellStyle name="20% - Акцент2 19" xfId="84"/>
    <cellStyle name="20% - Акцент2 2" xfId="11"/>
    <cellStyle name="20% - Акцент2 3" xfId="12"/>
    <cellStyle name="20% - Акцент2 4" xfId="13"/>
    <cellStyle name="20% - Акцент2 5" xfId="85"/>
    <cellStyle name="20% - Акцент2 6" xfId="86"/>
    <cellStyle name="20% - Акцент2 7" xfId="87"/>
    <cellStyle name="20% - Акцент2 8" xfId="88"/>
    <cellStyle name="20% - Акцент2 9" xfId="89"/>
    <cellStyle name="20% - Акцент3 10" xfId="90"/>
    <cellStyle name="20% - Акцент3 11" xfId="91"/>
    <cellStyle name="20% - Акцент3 12" xfId="92"/>
    <cellStyle name="20% - Акцент3 13" xfId="93"/>
    <cellStyle name="20% - Акцент3 14" xfId="94"/>
    <cellStyle name="20% - Акцент3 15" xfId="95"/>
    <cellStyle name="20% - Акцент3 16" xfId="96"/>
    <cellStyle name="20% - Акцент3 17" xfId="97"/>
    <cellStyle name="20% - Акцент3 18" xfId="98"/>
    <cellStyle name="20% - Акцент3 19" xfId="99"/>
    <cellStyle name="20% - Акцент3 2" xfId="14"/>
    <cellStyle name="20% - Акцент3 3" xfId="15"/>
    <cellStyle name="20% - Акцент3 4" xfId="16"/>
    <cellStyle name="20% - Акцент3 5" xfId="100"/>
    <cellStyle name="20% - Акцент3 6" xfId="101"/>
    <cellStyle name="20% - Акцент3 7" xfId="102"/>
    <cellStyle name="20% - Акцент3 8" xfId="103"/>
    <cellStyle name="20% - Акцент3 9" xfId="104"/>
    <cellStyle name="20% - Акцент4 10" xfId="105"/>
    <cellStyle name="20% - Акцент4 11" xfId="106"/>
    <cellStyle name="20% - Акцент4 12" xfId="107"/>
    <cellStyle name="20% - Акцент4 13" xfId="108"/>
    <cellStyle name="20% - Акцент4 14" xfId="109"/>
    <cellStyle name="20% - Акцент4 15" xfId="110"/>
    <cellStyle name="20% - Акцент4 16" xfId="111"/>
    <cellStyle name="20% - Акцент4 17" xfId="112"/>
    <cellStyle name="20% - Акцент4 18" xfId="113"/>
    <cellStyle name="20% - Акцент4 19" xfId="114"/>
    <cellStyle name="20% - Акцент4 2" xfId="17"/>
    <cellStyle name="20% - Акцент4 3" xfId="18"/>
    <cellStyle name="20% - Акцент4 4" xfId="19"/>
    <cellStyle name="20% - Акцент4 5" xfId="115"/>
    <cellStyle name="20% - Акцент4 6" xfId="116"/>
    <cellStyle name="20% - Акцент4 7" xfId="117"/>
    <cellStyle name="20% - Акцент4 8" xfId="118"/>
    <cellStyle name="20% - Акцент4 9" xfId="119"/>
    <cellStyle name="20% - Акцент5 2" xfId="20"/>
    <cellStyle name="20% - Акцент5 2 2" xfId="121"/>
    <cellStyle name="20% - Акцент5 3" xfId="21"/>
    <cellStyle name="20% - Акцент5 3 2" xfId="122"/>
    <cellStyle name="20% - Акцент5 4" xfId="22"/>
    <cellStyle name="20% - Акцент5 4 2" xfId="120"/>
    <cellStyle name="20% - Акцент6 2" xfId="23"/>
    <cellStyle name="20% - Акцент6 2 2" xfId="124"/>
    <cellStyle name="20% - Акцент6 3" xfId="24"/>
    <cellStyle name="20% - Акцент6 3 2" xfId="125"/>
    <cellStyle name="20% - Акцент6 4" xfId="25"/>
    <cellStyle name="20% - Акцент6 4 2" xfId="123"/>
    <cellStyle name="40% - Accent1" xfId="126"/>
    <cellStyle name="40% - Accent2" xfId="127"/>
    <cellStyle name="40% - Accent3" xfId="128"/>
    <cellStyle name="40% - Accent4" xfId="129"/>
    <cellStyle name="40% - Accent5" xfId="130"/>
    <cellStyle name="40% - Accent6" xfId="131"/>
    <cellStyle name="40% - Акцент1 2" xfId="26"/>
    <cellStyle name="40% - Акцент1 2 2" xfId="133"/>
    <cellStyle name="40% - Акцент1 3" xfId="27"/>
    <cellStyle name="40% - Акцент1 3 2" xfId="134"/>
    <cellStyle name="40% - Акцент1 4" xfId="28"/>
    <cellStyle name="40% - Акцент1 4 2" xfId="132"/>
    <cellStyle name="40% - Акцент2 2" xfId="29"/>
    <cellStyle name="40% - Акцент2 2 2" xfId="136"/>
    <cellStyle name="40% - Акцент2 3" xfId="30"/>
    <cellStyle name="40% - Акцент2 3 2" xfId="137"/>
    <cellStyle name="40% - Акцент2 4" xfId="31"/>
    <cellStyle name="40% - Акцент2 4 2" xfId="135"/>
    <cellStyle name="40% - Акцент3 10" xfId="138"/>
    <cellStyle name="40% - Акцент3 11" xfId="139"/>
    <cellStyle name="40% - Акцент3 12" xfId="140"/>
    <cellStyle name="40% - Акцент3 13" xfId="141"/>
    <cellStyle name="40% - Акцент3 14" xfId="142"/>
    <cellStyle name="40% - Акцент3 15" xfId="143"/>
    <cellStyle name="40% - Акцент3 16" xfId="144"/>
    <cellStyle name="40% - Акцент3 17" xfId="145"/>
    <cellStyle name="40% - Акцент3 18" xfId="146"/>
    <cellStyle name="40% - Акцент3 19" xfId="147"/>
    <cellStyle name="40% - Акцент3 2" xfId="32"/>
    <cellStyle name="40% - Акцент3 3" xfId="33"/>
    <cellStyle name="40% - Акцент3 4" xfId="34"/>
    <cellStyle name="40% - Акцент3 5" xfId="148"/>
    <cellStyle name="40% - Акцент3 6" xfId="149"/>
    <cellStyle name="40% - Акцент3 7" xfId="150"/>
    <cellStyle name="40% - Акцент3 8" xfId="151"/>
    <cellStyle name="40% - Акцент3 9" xfId="152"/>
    <cellStyle name="40% - Акцент4 2" xfId="35"/>
    <cellStyle name="40% - Акцент4 2 2" xfId="154"/>
    <cellStyle name="40% - Акцент4 3" xfId="36"/>
    <cellStyle name="40% - Акцент4 3 2" xfId="155"/>
    <cellStyle name="40% - Акцент4 4" xfId="37"/>
    <cellStyle name="40% - Акцент4 4 2" xfId="153"/>
    <cellStyle name="40% - Акцент5 2" xfId="38"/>
    <cellStyle name="40% - Акцент5 2 2" xfId="157"/>
    <cellStyle name="40% - Акцент5 3" xfId="39"/>
    <cellStyle name="40% - Акцент5 3 2" xfId="158"/>
    <cellStyle name="40% - Акцент5 4" xfId="40"/>
    <cellStyle name="40% - Акцент5 4 2" xfId="156"/>
    <cellStyle name="40% - Акцент6 2" xfId="41"/>
    <cellStyle name="40% - Акцент6 2 2" xfId="160"/>
    <cellStyle name="40% - Акцент6 3" xfId="42"/>
    <cellStyle name="40% - Акцент6 3 2" xfId="161"/>
    <cellStyle name="40% - Акцент6 4" xfId="43"/>
    <cellStyle name="40% - Акцент6 4 2" xfId="159"/>
    <cellStyle name="60% - Accent1" xfId="162"/>
    <cellStyle name="60% - Accent2" xfId="163"/>
    <cellStyle name="60% - Accent3" xfId="164"/>
    <cellStyle name="60% - Accent4" xfId="165"/>
    <cellStyle name="60% - Accent5" xfId="166"/>
    <cellStyle name="60% - Accent6" xfId="167"/>
    <cellStyle name="60% - Акцент1 2" xfId="169"/>
    <cellStyle name="60% - Акцент1 3" xfId="170"/>
    <cellStyle name="60% - Акцент1 4" xfId="168"/>
    <cellStyle name="60% - Акцент2 2" xfId="172"/>
    <cellStyle name="60% - Акцент2 3" xfId="173"/>
    <cellStyle name="60% - Акцент2 4" xfId="171"/>
    <cellStyle name="60% - Акцент3 10" xfId="174"/>
    <cellStyle name="60% - Акцент3 11" xfId="175"/>
    <cellStyle name="60% - Акцент3 12" xfId="176"/>
    <cellStyle name="60% - Акцент3 13" xfId="177"/>
    <cellStyle name="60% - Акцент3 14" xfId="178"/>
    <cellStyle name="60% - Акцент3 15" xfId="179"/>
    <cellStyle name="60% - Акцент3 16" xfId="180"/>
    <cellStyle name="60% - Акцент3 17" xfId="181"/>
    <cellStyle name="60% - Акцент3 18" xfId="182"/>
    <cellStyle name="60% - Акцент3 19" xfId="183"/>
    <cellStyle name="60% - Акцент3 2" xfId="184"/>
    <cellStyle name="60% - Акцент3 3" xfId="185"/>
    <cellStyle name="60% - Акцент3 4" xfId="186"/>
    <cellStyle name="60% - Акцент3 5" xfId="187"/>
    <cellStyle name="60% - Акцент3 6" xfId="188"/>
    <cellStyle name="60% - Акцент3 7" xfId="189"/>
    <cellStyle name="60% - Акцент3 8" xfId="190"/>
    <cellStyle name="60% - Акцент3 9" xfId="191"/>
    <cellStyle name="60% - Акцент4 10" xfId="192"/>
    <cellStyle name="60% - Акцент4 11" xfId="193"/>
    <cellStyle name="60% - Акцент4 12" xfId="194"/>
    <cellStyle name="60% - Акцент4 13" xfId="195"/>
    <cellStyle name="60% - Акцент4 14" xfId="196"/>
    <cellStyle name="60% - Акцент4 15" xfId="197"/>
    <cellStyle name="60% - Акцент4 16" xfId="198"/>
    <cellStyle name="60% - Акцент4 17" xfId="199"/>
    <cellStyle name="60% - Акцент4 18" xfId="200"/>
    <cellStyle name="60% - Акцент4 19" xfId="201"/>
    <cellStyle name="60% - Акцент4 2" xfId="202"/>
    <cellStyle name="60% - Акцент4 3" xfId="203"/>
    <cellStyle name="60% - Акцент4 4" xfId="204"/>
    <cellStyle name="60% - Акцент4 5" xfId="205"/>
    <cellStyle name="60% - Акцент4 6" xfId="206"/>
    <cellStyle name="60% - Акцент4 7" xfId="207"/>
    <cellStyle name="60% - Акцент4 8" xfId="208"/>
    <cellStyle name="60% - Акцент4 9" xfId="209"/>
    <cellStyle name="60% - Акцент5 2" xfId="211"/>
    <cellStyle name="60% - Акцент5 3" xfId="212"/>
    <cellStyle name="60% - Акцент5 4" xfId="210"/>
    <cellStyle name="60% - Акцент6 10" xfId="213"/>
    <cellStyle name="60% - Акцент6 11" xfId="214"/>
    <cellStyle name="60% - Акцент6 12" xfId="215"/>
    <cellStyle name="60% - Акцент6 13" xfId="216"/>
    <cellStyle name="60% - Акцент6 14" xfId="217"/>
    <cellStyle name="60% - Акцент6 15" xfId="218"/>
    <cellStyle name="60% - Акцент6 16" xfId="219"/>
    <cellStyle name="60% - Акцент6 17" xfId="220"/>
    <cellStyle name="60% - Акцент6 18" xfId="221"/>
    <cellStyle name="60% - Акцент6 19" xfId="222"/>
    <cellStyle name="60% - Акцент6 2" xfId="223"/>
    <cellStyle name="60% - Акцент6 3" xfId="224"/>
    <cellStyle name="60% - Акцент6 4" xfId="225"/>
    <cellStyle name="60% - Акцент6 5" xfId="226"/>
    <cellStyle name="60% - Акцент6 6" xfId="227"/>
    <cellStyle name="60% - Акцент6 7" xfId="228"/>
    <cellStyle name="60% - Акцент6 8" xfId="229"/>
    <cellStyle name="60% - Акцент6 9" xfId="230"/>
    <cellStyle name="Accent1" xfId="231"/>
    <cellStyle name="Accent2" xfId="232"/>
    <cellStyle name="Accent3" xfId="233"/>
    <cellStyle name="Accent4" xfId="234"/>
    <cellStyle name="Accent5" xfId="235"/>
    <cellStyle name="Accent6" xfId="236"/>
    <cellStyle name="Bad" xfId="237"/>
    <cellStyle name="Calculation" xfId="238"/>
    <cellStyle name="Check Cell" xfId="239"/>
    <cellStyle name="Currency [0]" xfId="240"/>
    <cellStyle name="Currency2" xfId="241"/>
    <cellStyle name="Explanatory Text" xfId="242"/>
    <cellStyle name="Followed Hyperlink" xfId="243"/>
    <cellStyle name="Good" xfId="244"/>
    <cellStyle name="Heading 1" xfId="245"/>
    <cellStyle name="Heading 2" xfId="246"/>
    <cellStyle name="Heading 3" xfId="247"/>
    <cellStyle name="Heading 4" xfId="248"/>
    <cellStyle name="Hyperlink" xfId="249"/>
    <cellStyle name="Input" xfId="250"/>
    <cellStyle name="Linked Cell" xfId="251"/>
    <cellStyle name="Neutral" xfId="252"/>
    <cellStyle name="normal" xfId="253"/>
    <cellStyle name="Normal1" xfId="254"/>
    <cellStyle name="Normal2" xfId="255"/>
    <cellStyle name="Note" xfId="256"/>
    <cellStyle name="Output" xfId="257"/>
    <cellStyle name="Percent1" xfId="258"/>
    <cellStyle name="Title" xfId="259"/>
    <cellStyle name="Total" xfId="260"/>
    <cellStyle name="Warning Text" xfId="261"/>
    <cellStyle name="Акцент1 2" xfId="263"/>
    <cellStyle name="Акцент1 3" xfId="264"/>
    <cellStyle name="Акцент1 4" xfId="262"/>
    <cellStyle name="Акцент2 2" xfId="266"/>
    <cellStyle name="Акцент2 3" xfId="267"/>
    <cellStyle name="Акцент2 4" xfId="265"/>
    <cellStyle name="Акцент3 2" xfId="269"/>
    <cellStyle name="Акцент3 3" xfId="270"/>
    <cellStyle name="Акцент3 4" xfId="268"/>
    <cellStyle name="Акцент4 2" xfId="272"/>
    <cellStyle name="Акцент4 3" xfId="273"/>
    <cellStyle name="Акцент4 4" xfId="271"/>
    <cellStyle name="Акцент5 2" xfId="275"/>
    <cellStyle name="Акцент5 3" xfId="276"/>
    <cellStyle name="Акцент5 4" xfId="274"/>
    <cellStyle name="Акцент6 2" xfId="278"/>
    <cellStyle name="Акцент6 3" xfId="279"/>
    <cellStyle name="Акцент6 4" xfId="277"/>
    <cellStyle name="Ввод  2" xfId="280"/>
    <cellStyle name="Вывод 2" xfId="282"/>
    <cellStyle name="Вывод 3" xfId="283"/>
    <cellStyle name="Вывод 4" xfId="281"/>
    <cellStyle name="Вычисление 2" xfId="285"/>
    <cellStyle name="Вычисление 3" xfId="286"/>
    <cellStyle name="Вычисление 4" xfId="284"/>
    <cellStyle name="Денежный 2" xfId="2"/>
    <cellStyle name="Заголовок 1 2" xfId="288"/>
    <cellStyle name="Заголовок 1 3" xfId="289"/>
    <cellStyle name="Заголовок 1 4" xfId="287"/>
    <cellStyle name="Заголовок 2 2" xfId="291"/>
    <cellStyle name="Заголовок 2 3" xfId="292"/>
    <cellStyle name="Заголовок 2 4" xfId="290"/>
    <cellStyle name="Заголовок 3 2" xfId="294"/>
    <cellStyle name="Заголовок 3 3" xfId="295"/>
    <cellStyle name="Заголовок 3 4" xfId="293"/>
    <cellStyle name="Заголовок 4 2" xfId="297"/>
    <cellStyle name="Заголовок 4 3" xfId="298"/>
    <cellStyle name="Заголовок 4 4" xfId="296"/>
    <cellStyle name="Значение" xfId="299"/>
    <cellStyle name="Итог 2" xfId="301"/>
    <cellStyle name="Итог 3" xfId="302"/>
    <cellStyle name="Итог 4" xfId="300"/>
    <cellStyle name="Контрольная ячейка 2" xfId="304"/>
    <cellStyle name="Контрольная ячейка 3" xfId="305"/>
    <cellStyle name="Контрольная ячейка 4" xfId="303"/>
    <cellStyle name="Название 2" xfId="307"/>
    <cellStyle name="Название 3" xfId="308"/>
    <cellStyle name="Название 4" xfId="306"/>
    <cellStyle name="Нейтральный 2" xfId="310"/>
    <cellStyle name="Нейтральный 3" xfId="311"/>
    <cellStyle name="Нейтральный 4" xfId="309"/>
    <cellStyle name="Обычный" xfId="0" builtinId="0"/>
    <cellStyle name="Обычный 10" xfId="312"/>
    <cellStyle name="Обычный 11" xfId="313"/>
    <cellStyle name="Обычный 12" xfId="314"/>
    <cellStyle name="Обычный 13" xfId="315"/>
    <cellStyle name="Обычный 2" xfId="1"/>
    <cellStyle name="Обычный 2 2" xfId="7"/>
    <cellStyle name="Обычный 2 2 2" xfId="316"/>
    <cellStyle name="Обычный 2 3" xfId="317"/>
    <cellStyle name="Обычный 2 4" xfId="318"/>
    <cellStyle name="Обычный 2 5" xfId="368"/>
    <cellStyle name="Обычный 2_ИП Суслонов В А  - расчетные таблицы к тарифу на 2012 год" xfId="319"/>
    <cellStyle name="Обычный 20" xfId="369"/>
    <cellStyle name="Обычный 3" xfId="6"/>
    <cellStyle name="Обычный 3 2" xfId="320"/>
    <cellStyle name="Обычный 4" xfId="44"/>
    <cellStyle name="Обычный 4 2" xfId="322"/>
    <cellStyle name="Обычный 4 3" xfId="321"/>
    <cellStyle name="Обычный 4_расчет стоки Звездочка 2015 12.12.14" xfId="323"/>
    <cellStyle name="Обычный 5" xfId="45"/>
    <cellStyle name="Обычный 5 2" xfId="325"/>
    <cellStyle name="Обычный 5 3" xfId="324"/>
    <cellStyle name="Обычный 6" xfId="46"/>
    <cellStyle name="Обычный 7" xfId="326"/>
    <cellStyle name="Обычный 7 2" xfId="327"/>
    <cellStyle name="Обычный 7_расчет стоки Звездочка 2015 12.12.14" xfId="328"/>
    <cellStyle name="Обычный 8" xfId="329"/>
    <cellStyle name="Обычный 9" xfId="330"/>
    <cellStyle name="Плохой 2" xfId="332"/>
    <cellStyle name="Плохой 3" xfId="333"/>
    <cellStyle name="Плохой 4" xfId="331"/>
    <cellStyle name="Пояснение 2" xfId="335"/>
    <cellStyle name="Пояснение 3" xfId="336"/>
    <cellStyle name="Пояснение 4" xfId="334"/>
    <cellStyle name="Примечание 2" xfId="47"/>
    <cellStyle name="Примечание 2 2" xfId="337"/>
    <cellStyle name="Примечание 3" xfId="48"/>
    <cellStyle name="Примечание 4" xfId="49"/>
    <cellStyle name="Примечание 5" xfId="50"/>
    <cellStyle name="Процентный 2" xfId="3"/>
    <cellStyle name="Процентный 2 2" xfId="51"/>
    <cellStyle name="Процентный 2 3" xfId="339"/>
    <cellStyle name="Процентный 2_расчет вода Звездочка нов" xfId="340"/>
    <cellStyle name="Процентный 3" xfId="341"/>
    <cellStyle name="Процентный 4" xfId="342"/>
    <cellStyle name="Процентный 5" xfId="343"/>
    <cellStyle name="Процентный 6" xfId="344"/>
    <cellStyle name="Процентный 7" xfId="345"/>
    <cellStyle name="Процентный 8" xfId="346"/>
    <cellStyle name="Процентный 9" xfId="338"/>
    <cellStyle name="Связанная ячейка 2" xfId="348"/>
    <cellStyle name="Связанная ячейка 3" xfId="349"/>
    <cellStyle name="Связанная ячейка 4" xfId="347"/>
    <cellStyle name="Текст предупреждения 2" xfId="351"/>
    <cellStyle name="Текст предупреждения 3" xfId="352"/>
    <cellStyle name="Текст предупреждения 4" xfId="350"/>
    <cellStyle name="Финансовый" xfId="367" builtinId="3"/>
    <cellStyle name="Финансовый 2" xfId="4"/>
    <cellStyle name="Финансовый 2 2" xfId="355"/>
    <cellStyle name="Финансовый 2 2 2" xfId="5"/>
    <cellStyle name="Финансовый 2 3" xfId="354"/>
    <cellStyle name="Финансовый 2_расчет вода Звездочка нов" xfId="356"/>
    <cellStyle name="Финансовый 3" xfId="52"/>
    <cellStyle name="Финансовый 4" xfId="357"/>
    <cellStyle name="Финансовый 4 2" xfId="358"/>
    <cellStyle name="Финансовый 5" xfId="359"/>
    <cellStyle name="Финансовый 6" xfId="360"/>
    <cellStyle name="Финансовый 7" xfId="361"/>
    <cellStyle name="Финансовый 8" xfId="353"/>
    <cellStyle name="Финансовый 9" xfId="366"/>
    <cellStyle name="Формула" xfId="362"/>
    <cellStyle name="Хороший 2" xfId="364"/>
    <cellStyle name="Хороший 3" xfId="365"/>
    <cellStyle name="Хороший 4" xfId="36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FF99"/>
      <color rgb="FF8EAAFA"/>
      <color rgb="FF66CCFF"/>
      <color rgb="FF66FFFF"/>
      <color rgb="FF99FF99"/>
      <color rgb="FFCCFFCC"/>
      <color rgb="FFCCFF99"/>
      <color rgb="FF99FFCC"/>
      <color rgb="FFB7FF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60"/>
  <sheetViews>
    <sheetView view="pageBreakPreview" topLeftCell="A31" zoomScaleNormal="130" zoomScaleSheetLayoutView="100" workbookViewId="0">
      <selection activeCell="B53" sqref="B53"/>
    </sheetView>
  </sheetViews>
  <sheetFormatPr defaultRowHeight="15" x14ac:dyDescent="0.25"/>
  <cols>
    <col min="1" max="1" width="11.42578125" style="8" customWidth="1"/>
    <col min="2" max="2" width="59" customWidth="1"/>
    <col min="3" max="3" width="12.7109375" customWidth="1"/>
    <col min="4" max="4" width="14.5703125" customWidth="1"/>
    <col min="5" max="5" width="22" customWidth="1"/>
    <col min="6" max="6" width="26" customWidth="1"/>
    <col min="7" max="7" width="20.28515625" customWidth="1"/>
    <col min="9" max="9" width="14" customWidth="1"/>
    <col min="10" max="10" width="21.140625" customWidth="1"/>
  </cols>
  <sheetData>
    <row r="1" spans="1:7" s="11" customFormat="1" x14ac:dyDescent="0.25">
      <c r="A1" s="142"/>
      <c r="B1" s="31"/>
      <c r="C1" s="31"/>
      <c r="D1" s="31"/>
      <c r="E1" s="138"/>
      <c r="F1" s="138" t="s">
        <v>298</v>
      </c>
    </row>
    <row r="2" spans="1:7" s="11" customFormat="1" x14ac:dyDescent="0.25">
      <c r="A2" s="142"/>
      <c r="B2" s="31"/>
      <c r="C2" s="31"/>
      <c r="D2" s="31"/>
      <c r="E2" s="138"/>
      <c r="F2" s="31"/>
    </row>
    <row r="3" spans="1:7" x14ac:dyDescent="0.25">
      <c r="A3" s="318" t="s">
        <v>178</v>
      </c>
      <c r="B3" s="318"/>
      <c r="C3" s="318"/>
      <c r="D3" s="318"/>
      <c r="E3" s="318"/>
      <c r="F3" s="291"/>
      <c r="G3" s="64"/>
    </row>
    <row r="4" spans="1:7" s="11" customFormat="1" x14ac:dyDescent="0.25">
      <c r="A4" s="142"/>
      <c r="B4" s="142"/>
      <c r="C4" s="142"/>
      <c r="D4" s="142"/>
      <c r="E4" s="31"/>
      <c r="F4" s="292"/>
    </row>
    <row r="5" spans="1:7" x14ac:dyDescent="0.25">
      <c r="A5" s="139"/>
      <c r="B5" s="31"/>
      <c r="C5" s="31"/>
      <c r="D5" s="31"/>
      <c r="E5" s="144"/>
      <c r="F5" s="144" t="s">
        <v>125</v>
      </c>
    </row>
    <row r="6" spans="1:7" ht="42.75" customHeight="1" x14ac:dyDescent="0.25">
      <c r="A6" s="257" t="s">
        <v>76</v>
      </c>
      <c r="B6" s="257" t="s">
        <v>77</v>
      </c>
      <c r="C6" s="257" t="s">
        <v>78</v>
      </c>
      <c r="D6" s="257" t="s">
        <v>399</v>
      </c>
      <c r="E6" s="257" t="s">
        <v>400</v>
      </c>
      <c r="F6" s="257" t="s">
        <v>59</v>
      </c>
    </row>
    <row r="7" spans="1:7" x14ac:dyDescent="0.25">
      <c r="A7" s="257">
        <v>1</v>
      </c>
      <c r="B7" s="257">
        <v>2</v>
      </c>
      <c r="C7" s="257">
        <v>3</v>
      </c>
      <c r="D7" s="257">
        <v>4</v>
      </c>
      <c r="E7" s="257">
        <v>5</v>
      </c>
      <c r="F7" s="293">
        <v>6</v>
      </c>
    </row>
    <row r="8" spans="1:7" x14ac:dyDescent="0.25">
      <c r="A8" s="257">
        <v>1</v>
      </c>
      <c r="B8" s="258" t="s">
        <v>79</v>
      </c>
      <c r="C8" s="258"/>
      <c r="D8" s="258"/>
      <c r="E8" s="23"/>
      <c r="F8" s="23"/>
    </row>
    <row r="9" spans="1:7" x14ac:dyDescent="0.25">
      <c r="A9" s="257"/>
      <c r="B9" s="258" t="s">
        <v>80</v>
      </c>
      <c r="C9" s="258" t="s">
        <v>81</v>
      </c>
      <c r="D9" s="75">
        <v>5.8446130363782052</v>
      </c>
      <c r="E9" s="75">
        <f>D9*E41/100</f>
        <v>5.9696538133337507</v>
      </c>
      <c r="F9" s="23"/>
    </row>
    <row r="10" spans="1:7" x14ac:dyDescent="0.25">
      <c r="A10" s="257">
        <v>2</v>
      </c>
      <c r="B10" s="258" t="s">
        <v>82</v>
      </c>
      <c r="C10" s="258"/>
      <c r="D10" s="258"/>
      <c r="E10" s="23"/>
      <c r="F10" s="23"/>
    </row>
    <row r="11" spans="1:7" x14ac:dyDescent="0.25">
      <c r="A11" s="257" t="s">
        <v>83</v>
      </c>
      <c r="B11" s="258" t="s">
        <v>84</v>
      </c>
      <c r="C11" s="258" t="s">
        <v>85</v>
      </c>
      <c r="D11" s="75">
        <v>6271.9303797468347</v>
      </c>
      <c r="E11" s="75">
        <v>6604.1942217768874</v>
      </c>
      <c r="F11" s="23"/>
    </row>
    <row r="12" spans="1:7" x14ac:dyDescent="0.25">
      <c r="A12" s="257" t="s">
        <v>86</v>
      </c>
      <c r="B12" s="258" t="s">
        <v>87</v>
      </c>
      <c r="C12" s="258"/>
      <c r="D12" s="258">
        <v>0</v>
      </c>
      <c r="E12" s="261">
        <v>105.012</v>
      </c>
      <c r="F12" s="23"/>
    </row>
    <row r="13" spans="1:7" x14ac:dyDescent="0.25">
      <c r="A13" s="257" t="s">
        <v>88</v>
      </c>
      <c r="B13" s="258" t="s">
        <v>126</v>
      </c>
      <c r="C13" s="258" t="s">
        <v>85</v>
      </c>
      <c r="D13" s="75">
        <f>D11</f>
        <v>6271.9303797468347</v>
      </c>
      <c r="E13" s="75">
        <f t="shared" ref="E13" si="0">E11*E12/100</f>
        <v>6935.1964361723458</v>
      </c>
      <c r="F13" s="23"/>
    </row>
    <row r="14" spans="1:7" x14ac:dyDescent="0.25">
      <c r="A14" s="257" t="s">
        <v>89</v>
      </c>
      <c r="B14" s="258" t="s">
        <v>90</v>
      </c>
      <c r="C14" s="258"/>
      <c r="D14" s="128">
        <v>1.4612125249833445</v>
      </c>
      <c r="E14" s="128">
        <v>1.4619104876419506</v>
      </c>
      <c r="F14" s="23"/>
    </row>
    <row r="15" spans="1:7" ht="25.5" x14ac:dyDescent="0.25">
      <c r="A15" s="257" t="s">
        <v>91</v>
      </c>
      <c r="B15" s="258" t="s">
        <v>123</v>
      </c>
      <c r="C15" s="258"/>
      <c r="D15" s="129">
        <v>4.9881656804733732</v>
      </c>
      <c r="E15" s="129">
        <v>4.9881656804733732</v>
      </c>
      <c r="F15" s="23"/>
    </row>
    <row r="16" spans="1:7" x14ac:dyDescent="0.25">
      <c r="A16" s="257" t="s">
        <v>92</v>
      </c>
      <c r="B16" s="258" t="s">
        <v>93</v>
      </c>
      <c r="C16" s="258" t="s">
        <v>85</v>
      </c>
      <c r="D16" s="75">
        <f>D13*D14</f>
        <v>9164.6232267096184</v>
      </c>
      <c r="E16" s="75">
        <f t="shared" ref="E16" si="1">E13*E14</f>
        <v>10138.636403897432</v>
      </c>
      <c r="F16" s="23"/>
    </row>
    <row r="17" spans="1:6" ht="25.5" x14ac:dyDescent="0.25">
      <c r="A17" s="257" t="s">
        <v>95</v>
      </c>
      <c r="B17" s="258" t="s">
        <v>124</v>
      </c>
      <c r="C17" s="258"/>
      <c r="D17" s="258">
        <v>33</v>
      </c>
      <c r="E17" s="258">
        <f>D17</f>
        <v>33</v>
      </c>
      <c r="F17" s="23"/>
    </row>
    <row r="18" spans="1:6" x14ac:dyDescent="0.25">
      <c r="A18" s="257" t="s">
        <v>96</v>
      </c>
      <c r="B18" s="258" t="s">
        <v>97</v>
      </c>
      <c r="C18" s="258" t="s">
        <v>98</v>
      </c>
      <c r="D18" s="75">
        <f>D16*D17/100</f>
        <v>3024.3256648141742</v>
      </c>
      <c r="E18" s="75">
        <f t="shared" ref="E18" si="2">E16*E17/100</f>
        <v>3345.7500132861524</v>
      </c>
      <c r="F18" s="23"/>
    </row>
    <row r="19" spans="1:6" x14ac:dyDescent="0.25">
      <c r="A19" s="257" t="s">
        <v>99</v>
      </c>
      <c r="B19" s="258" t="s">
        <v>100</v>
      </c>
      <c r="C19" s="258" t="s">
        <v>85</v>
      </c>
      <c r="D19" s="258"/>
      <c r="E19" s="23"/>
      <c r="F19" s="23"/>
    </row>
    <row r="20" spans="1:6" x14ac:dyDescent="0.25">
      <c r="A20" s="257" t="s">
        <v>101</v>
      </c>
      <c r="B20" s="258" t="s">
        <v>102</v>
      </c>
      <c r="C20" s="258"/>
      <c r="D20" s="258"/>
      <c r="E20" s="23"/>
      <c r="F20" s="23"/>
    </row>
    <row r="21" spans="1:6" x14ac:dyDescent="0.25">
      <c r="A21" s="257" t="s">
        <v>103</v>
      </c>
      <c r="B21" s="258" t="s">
        <v>97</v>
      </c>
      <c r="C21" s="258" t="s">
        <v>98</v>
      </c>
      <c r="D21" s="258">
        <v>78</v>
      </c>
      <c r="E21" s="258">
        <f>D21</f>
        <v>78</v>
      </c>
      <c r="F21" s="23"/>
    </row>
    <row r="22" spans="1:6" x14ac:dyDescent="0.25">
      <c r="A22" s="257" t="s">
        <v>104</v>
      </c>
      <c r="B22" s="258" t="s">
        <v>100</v>
      </c>
      <c r="C22" s="258" t="s">
        <v>85</v>
      </c>
      <c r="D22" s="75">
        <f>(D16)*D21/100</f>
        <v>7148.4061168335029</v>
      </c>
      <c r="E22" s="75">
        <f t="shared" ref="E22" si="3">(E16)*E21/100</f>
        <v>7908.1363950399964</v>
      </c>
      <c r="F22" s="23"/>
    </row>
    <row r="23" spans="1:6" x14ac:dyDescent="0.25">
      <c r="A23" s="257" t="s">
        <v>105</v>
      </c>
      <c r="B23" s="258" t="s">
        <v>106</v>
      </c>
      <c r="C23" s="258"/>
      <c r="D23" s="258"/>
      <c r="E23" s="23"/>
      <c r="F23" s="23"/>
    </row>
    <row r="24" spans="1:6" x14ac:dyDescent="0.25">
      <c r="A24" s="257" t="s">
        <v>107</v>
      </c>
      <c r="B24" s="258" t="s">
        <v>97</v>
      </c>
      <c r="C24" s="258" t="s">
        <v>98</v>
      </c>
      <c r="D24" s="258">
        <v>53</v>
      </c>
      <c r="E24" s="258">
        <f>D24</f>
        <v>53</v>
      </c>
      <c r="F24" s="23"/>
    </row>
    <row r="25" spans="1:6" x14ac:dyDescent="0.25">
      <c r="A25" s="257" t="s">
        <v>108</v>
      </c>
      <c r="B25" s="258" t="s">
        <v>100</v>
      </c>
      <c r="C25" s="258" t="s">
        <v>85</v>
      </c>
      <c r="D25" s="75">
        <f>D16*D24/100</f>
        <v>4857.2503101560978</v>
      </c>
      <c r="E25" s="75">
        <f t="shared" ref="E25" si="4">E16*E24/100</f>
        <v>5373.4772940656394</v>
      </c>
      <c r="F25" s="23"/>
    </row>
    <row r="26" spans="1:6" x14ac:dyDescent="0.25">
      <c r="A26" s="257" t="s">
        <v>109</v>
      </c>
      <c r="B26" s="258" t="s">
        <v>110</v>
      </c>
      <c r="C26" s="258"/>
      <c r="D26" s="258"/>
      <c r="E26" s="23"/>
      <c r="F26" s="23"/>
    </row>
    <row r="27" spans="1:6" x14ac:dyDescent="0.25">
      <c r="A27" s="257" t="s">
        <v>111</v>
      </c>
      <c r="B27" s="258" t="s">
        <v>97</v>
      </c>
      <c r="C27" s="258" t="s">
        <v>98</v>
      </c>
      <c r="D27" s="75">
        <v>19.346</v>
      </c>
      <c r="E27" s="75">
        <f>D27</f>
        <v>19.346</v>
      </c>
      <c r="F27" s="23"/>
    </row>
    <row r="28" spans="1:6" x14ac:dyDescent="0.25">
      <c r="A28" s="257" t="s">
        <v>112</v>
      </c>
      <c r="B28" s="258" t="s">
        <v>100</v>
      </c>
      <c r="C28" s="258" t="s">
        <v>85</v>
      </c>
      <c r="D28" s="75">
        <f>D16*D27/100</f>
        <v>1772.9880094392429</v>
      </c>
      <c r="E28" s="75">
        <f t="shared" ref="E28" si="5">E16*E27/100</f>
        <v>1961.4205986979971</v>
      </c>
      <c r="F28" s="23"/>
    </row>
    <row r="29" spans="1:6" x14ac:dyDescent="0.25">
      <c r="A29" s="257" t="s">
        <v>113</v>
      </c>
      <c r="B29" s="258" t="s">
        <v>127</v>
      </c>
      <c r="C29" s="258"/>
      <c r="D29" s="258"/>
      <c r="E29" s="23"/>
      <c r="F29" s="23"/>
    </row>
    <row r="30" spans="1:6" x14ac:dyDescent="0.25">
      <c r="A30" s="257" t="s">
        <v>114</v>
      </c>
      <c r="B30" s="258" t="s">
        <v>97</v>
      </c>
      <c r="C30" s="258" t="s">
        <v>98</v>
      </c>
      <c r="D30" s="258">
        <v>120</v>
      </c>
      <c r="E30" s="258">
        <v>120</v>
      </c>
      <c r="F30" s="23"/>
    </row>
    <row r="31" spans="1:6" x14ac:dyDescent="0.25">
      <c r="A31" s="257" t="s">
        <v>115</v>
      </c>
      <c r="B31" s="258" t="s">
        <v>100</v>
      </c>
      <c r="C31" s="258" t="s">
        <v>85</v>
      </c>
      <c r="D31" s="75">
        <f>(D16+D18+D22+D25+D28)*D30/100</f>
        <v>31161.11199354316</v>
      </c>
      <c r="E31" s="75">
        <f t="shared" ref="E31" si="6">(E16+E18+E22+E25+E28)*E30/100</f>
        <v>34472.90484598466</v>
      </c>
      <c r="F31" s="23"/>
    </row>
    <row r="32" spans="1:6" x14ac:dyDescent="0.25">
      <c r="A32" s="257" t="s">
        <v>116</v>
      </c>
      <c r="B32" s="258" t="s">
        <v>128</v>
      </c>
      <c r="C32" s="258" t="s">
        <v>85</v>
      </c>
      <c r="D32" s="75">
        <f>D31+D28+D25+D22+D18+D16</f>
        <v>57128.705321495807</v>
      </c>
      <c r="E32" s="75">
        <f t="shared" ref="E32" si="7">E31+E28+E25+E22+E18+E16</f>
        <v>63200.325550971873</v>
      </c>
      <c r="F32" s="23"/>
    </row>
    <row r="33" spans="1:9" ht="25.5" x14ac:dyDescent="0.25">
      <c r="A33" s="257">
        <v>3</v>
      </c>
      <c r="B33" s="258" t="s">
        <v>129</v>
      </c>
      <c r="C33" s="258"/>
      <c r="D33" s="258"/>
      <c r="E33" s="23"/>
      <c r="F33" s="23"/>
    </row>
    <row r="34" spans="1:9" x14ac:dyDescent="0.25">
      <c r="A34" s="257" t="s">
        <v>117</v>
      </c>
      <c r="B34" s="258" t="s">
        <v>118</v>
      </c>
      <c r="C34" s="258" t="s">
        <v>0</v>
      </c>
      <c r="D34" s="258"/>
      <c r="E34" s="258"/>
      <c r="F34" s="23"/>
    </row>
    <row r="35" spans="1:9" x14ac:dyDescent="0.25">
      <c r="A35" s="257" t="s">
        <v>119</v>
      </c>
      <c r="B35" s="258" t="s">
        <v>120</v>
      </c>
      <c r="C35" s="258" t="s">
        <v>94</v>
      </c>
      <c r="D35" s="258"/>
      <c r="E35" s="23"/>
      <c r="F35" s="23"/>
    </row>
    <row r="36" spans="1:9" x14ac:dyDescent="0.25">
      <c r="A36" s="257" t="s">
        <v>121</v>
      </c>
      <c r="B36" s="258" t="s">
        <v>122</v>
      </c>
      <c r="C36" s="258" t="s">
        <v>94</v>
      </c>
      <c r="D36" s="75">
        <f>(D32+D34/D9)*D9*12/1000</f>
        <v>4006.7421104810801</v>
      </c>
      <c r="E36" s="75">
        <f t="shared" ref="E36" si="8">(E32+E34/E9)*E9*12/1000</f>
        <v>4527.4087731515247</v>
      </c>
      <c r="F36" s="23"/>
    </row>
    <row r="37" spans="1:9" x14ac:dyDescent="0.25">
      <c r="A37" s="31"/>
      <c r="B37" s="31"/>
      <c r="C37" s="31"/>
      <c r="D37" s="31"/>
      <c r="E37" s="31"/>
      <c r="F37" s="169"/>
      <c r="I37" s="11"/>
    </row>
    <row r="38" spans="1:9" s="11" customFormat="1" x14ac:dyDescent="0.25">
      <c r="A38" s="319" t="s">
        <v>300</v>
      </c>
      <c r="B38" s="319"/>
      <c r="C38" s="319"/>
      <c r="D38" s="319"/>
      <c r="E38" s="136"/>
      <c r="F38" s="31"/>
    </row>
    <row r="39" spans="1:9" s="11" customFormat="1" ht="25.5" x14ac:dyDescent="0.25">
      <c r="A39" s="157"/>
      <c r="B39" s="7"/>
      <c r="C39" s="93" t="s">
        <v>401</v>
      </c>
      <c r="D39" s="93" t="s">
        <v>402</v>
      </c>
      <c r="E39" s="93" t="s">
        <v>304</v>
      </c>
      <c r="F39" s="31"/>
    </row>
    <row r="40" spans="1:9" s="11" customFormat="1" ht="30" x14ac:dyDescent="0.25">
      <c r="A40" s="157">
        <v>1</v>
      </c>
      <c r="B40" s="158" t="s">
        <v>301</v>
      </c>
      <c r="C40" s="260">
        <v>82620.876000000004</v>
      </c>
      <c r="D40" s="23">
        <v>85650</v>
      </c>
      <c r="E40" s="159">
        <f>D40/C40*100</f>
        <v>103.66629373428576</v>
      </c>
      <c r="F40" s="31"/>
    </row>
    <row r="41" spans="1:9" s="11" customFormat="1" ht="30" x14ac:dyDescent="0.25">
      <c r="A41" s="157">
        <v>2</v>
      </c>
      <c r="B41" s="158" t="s">
        <v>302</v>
      </c>
      <c r="C41" s="260">
        <v>11454.931</v>
      </c>
      <c r="D41" s="23">
        <v>11700</v>
      </c>
      <c r="E41" s="160">
        <f>D41/C41*100</f>
        <v>102.1394192597057</v>
      </c>
      <c r="F41" s="31"/>
    </row>
    <row r="42" spans="1:9" s="11" customFormat="1" x14ac:dyDescent="0.25">
      <c r="A42" s="157">
        <v>3</v>
      </c>
      <c r="B42" s="161" t="s">
        <v>303</v>
      </c>
      <c r="C42" s="128">
        <v>94075.807000000001</v>
      </c>
      <c r="D42" s="128">
        <f>D40+D41</f>
        <v>97350</v>
      </c>
      <c r="E42" s="162">
        <f>D42/C42*100</f>
        <v>103.48037726638901</v>
      </c>
      <c r="F42" s="31"/>
    </row>
    <row r="43" spans="1:9" s="11" customFormat="1" x14ac:dyDescent="0.25">
      <c r="A43" s="31"/>
      <c r="B43" s="31"/>
      <c r="C43" s="31"/>
      <c r="D43" s="31"/>
      <c r="E43" s="31"/>
      <c r="F43" s="31"/>
    </row>
    <row r="44" spans="1:9" x14ac:dyDescent="0.25">
      <c r="A44" s="316" t="s">
        <v>172</v>
      </c>
      <c r="B44" s="316"/>
      <c r="C44" s="163"/>
      <c r="D44" s="31"/>
      <c r="E44" s="163" t="s">
        <v>173</v>
      </c>
      <c r="F44" s="31"/>
    </row>
    <row r="45" spans="1:9" x14ac:dyDescent="0.25">
      <c r="A45" s="317" t="s">
        <v>174</v>
      </c>
      <c r="B45" s="317"/>
      <c r="C45" s="31" t="s">
        <v>176</v>
      </c>
      <c r="D45" s="31"/>
      <c r="E45" s="166" t="s">
        <v>175</v>
      </c>
      <c r="F45" s="31"/>
    </row>
    <row r="46" spans="1:9" x14ac:dyDescent="0.25">
      <c r="A46"/>
    </row>
    <row r="47" spans="1:9" x14ac:dyDescent="0.25">
      <c r="A47" t="s">
        <v>195</v>
      </c>
    </row>
    <row r="48" spans="1:9" x14ac:dyDescent="0.25">
      <c r="A48"/>
      <c r="D48" s="21"/>
      <c r="E48" s="21"/>
      <c r="F48" s="21"/>
    </row>
    <row r="49" spans="1:10" x14ac:dyDescent="0.25">
      <c r="A49"/>
      <c r="D49" s="262">
        <v>4006.7431604296976</v>
      </c>
      <c r="E49" s="3"/>
      <c r="G49" s="3"/>
      <c r="I49" s="11"/>
      <c r="J49" s="26"/>
    </row>
    <row r="50" spans="1:10" x14ac:dyDescent="0.25">
      <c r="A50"/>
      <c r="D50" s="126">
        <f>D49/D9</f>
        <v>685.54464350177057</v>
      </c>
      <c r="E50" s="32"/>
      <c r="G50" s="32"/>
    </row>
    <row r="51" spans="1:10" x14ac:dyDescent="0.25">
      <c r="A51"/>
      <c r="D51" s="127">
        <f>D50/12</f>
        <v>57.128720291814211</v>
      </c>
    </row>
    <row r="52" spans="1:10" x14ac:dyDescent="0.25">
      <c r="A52"/>
      <c r="E52" s="3"/>
    </row>
    <row r="53" spans="1:10" x14ac:dyDescent="0.25">
      <c r="A53"/>
    </row>
    <row r="54" spans="1:10" x14ac:dyDescent="0.25">
      <c r="A54"/>
    </row>
    <row r="55" spans="1:10" x14ac:dyDescent="0.25">
      <c r="A55"/>
    </row>
    <row r="56" spans="1:10" x14ac:dyDescent="0.25">
      <c r="A56"/>
    </row>
    <row r="57" spans="1:10" x14ac:dyDescent="0.25">
      <c r="A57"/>
    </row>
    <row r="58" spans="1:10" x14ac:dyDescent="0.25">
      <c r="A58"/>
    </row>
    <row r="59" spans="1:10" x14ac:dyDescent="0.25">
      <c r="A59"/>
    </row>
    <row r="60" spans="1:10" x14ac:dyDescent="0.25">
      <c r="A60"/>
    </row>
  </sheetData>
  <mergeCells count="4">
    <mergeCell ref="A44:B44"/>
    <mergeCell ref="A45:B45"/>
    <mergeCell ref="A3:E3"/>
    <mergeCell ref="A38:D38"/>
  </mergeCells>
  <pageMargins left="0.70866141732283472" right="0.31496062992125984" top="0.39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H72"/>
  <sheetViews>
    <sheetView tabSelected="1" view="pageBreakPreview" zoomScale="85" zoomScaleNormal="70" zoomScaleSheetLayoutView="85" workbookViewId="0">
      <selection activeCell="B13" sqref="B13"/>
    </sheetView>
  </sheetViews>
  <sheetFormatPr defaultRowHeight="15" x14ac:dyDescent="0.25"/>
  <cols>
    <col min="1" max="1" width="7.5703125" style="31" customWidth="1"/>
    <col min="2" max="2" width="70.140625" style="31" customWidth="1"/>
    <col min="3" max="4" width="17.140625" style="31" customWidth="1"/>
    <col min="5" max="5" width="55.42578125" style="31" customWidth="1"/>
    <col min="6" max="6" width="34.7109375" style="31" customWidth="1"/>
    <col min="7" max="7" width="19.7109375" style="31" customWidth="1"/>
    <col min="8" max="8" width="35.5703125" style="31" customWidth="1"/>
    <col min="9" max="9" width="21.140625" style="31" customWidth="1"/>
    <col min="10" max="10" width="17.28515625" style="31" customWidth="1"/>
    <col min="11" max="11" width="12.42578125" style="31" customWidth="1"/>
    <col min="12" max="12" width="11" style="31" customWidth="1"/>
    <col min="13" max="13" width="11.42578125" style="31" customWidth="1"/>
    <col min="14" max="21" width="9.140625" style="31"/>
    <col min="22" max="22" width="11.42578125" style="31" customWidth="1"/>
    <col min="23" max="16384" width="9.140625" style="31"/>
  </cols>
  <sheetData>
    <row r="1" spans="1:8" x14ac:dyDescent="0.25">
      <c r="E1" s="138" t="s">
        <v>193</v>
      </c>
      <c r="F1" s="138" t="s">
        <v>193</v>
      </c>
      <c r="G1" s="139"/>
      <c r="H1" s="139"/>
    </row>
    <row r="2" spans="1:8" x14ac:dyDescent="0.25">
      <c r="F2" s="138"/>
      <c r="G2" s="139"/>
      <c r="H2" s="139"/>
    </row>
    <row r="3" spans="1:8" ht="18.75" x14ac:dyDescent="0.3">
      <c r="A3" s="320" t="s">
        <v>305</v>
      </c>
      <c r="B3" s="320"/>
      <c r="C3" s="320"/>
      <c r="D3" s="320"/>
      <c r="E3" s="320"/>
      <c r="F3" s="140"/>
      <c r="G3" s="140"/>
      <c r="H3" s="141"/>
    </row>
    <row r="4" spans="1:8" x14ac:dyDescent="0.25">
      <c r="A4" s="142"/>
      <c r="B4" s="142"/>
      <c r="C4" s="142"/>
      <c r="D4" s="142"/>
      <c r="E4" s="142"/>
      <c r="F4" s="142"/>
    </row>
    <row r="5" spans="1:8" x14ac:dyDescent="0.25">
      <c r="A5" s="143"/>
      <c r="E5" s="144" t="s">
        <v>58</v>
      </c>
      <c r="F5" s="144" t="s">
        <v>58</v>
      </c>
    </row>
    <row r="6" spans="1:8" s="145" customFormat="1" ht="63" x14ac:dyDescent="0.25">
      <c r="A6" s="83" t="s">
        <v>1</v>
      </c>
      <c r="B6" s="83" t="s">
        <v>2</v>
      </c>
      <c r="C6" s="83" t="s">
        <v>399</v>
      </c>
      <c r="D6" s="83" t="s">
        <v>400</v>
      </c>
      <c r="E6" s="83" t="s">
        <v>59</v>
      </c>
      <c r="G6" s="31"/>
      <c r="H6" s="31"/>
    </row>
    <row r="7" spans="1:8" x14ac:dyDescent="0.25">
      <c r="A7" s="257">
        <v>1</v>
      </c>
      <c r="B7" s="257">
        <v>2</v>
      </c>
      <c r="C7" s="257">
        <v>3</v>
      </c>
      <c r="D7" s="257">
        <v>5</v>
      </c>
      <c r="E7" s="257">
        <v>6</v>
      </c>
    </row>
    <row r="8" spans="1:8" ht="51" x14ac:dyDescent="0.25">
      <c r="A8" s="22">
        <v>1</v>
      </c>
      <c r="B8" s="22" t="s">
        <v>3</v>
      </c>
      <c r="C8" s="146">
        <v>14.605391317503297</v>
      </c>
      <c r="D8" s="146">
        <f>C8*$E$62/100*1.044*1.032</f>
        <v>16.07262372411676</v>
      </c>
      <c r="E8" s="75" t="s">
        <v>408</v>
      </c>
      <c r="F8" s="147"/>
      <c r="G8" s="148"/>
    </row>
    <row r="9" spans="1:8" x14ac:dyDescent="0.25">
      <c r="A9" s="22">
        <v>2</v>
      </c>
      <c r="B9" s="22" t="s">
        <v>4</v>
      </c>
      <c r="C9" s="258">
        <v>0</v>
      </c>
      <c r="D9" s="258"/>
      <c r="E9" s="258"/>
    </row>
    <row r="10" spans="1:8" x14ac:dyDescent="0.25">
      <c r="A10" s="258"/>
      <c r="B10" s="7" t="s">
        <v>5</v>
      </c>
      <c r="C10" s="84">
        <v>0</v>
      </c>
      <c r="D10" s="84"/>
      <c r="E10" s="84"/>
    </row>
    <row r="11" spans="1:8" ht="51" x14ac:dyDescent="0.25">
      <c r="A11" s="22">
        <v>3</v>
      </c>
      <c r="B11" s="22" t="s">
        <v>49</v>
      </c>
      <c r="C11" s="146">
        <v>0.55162999999999995</v>
      </c>
      <c r="D11" s="146">
        <f>C11*$E$62/100*1.044*1.032</f>
        <v>0.60704579782872548</v>
      </c>
      <c r="E11" s="75" t="s">
        <v>408</v>
      </c>
      <c r="F11" s="147"/>
    </row>
    <row r="12" spans="1:8" x14ac:dyDescent="0.25">
      <c r="A12" s="258"/>
      <c r="B12" s="7" t="s">
        <v>5</v>
      </c>
      <c r="C12" s="258">
        <v>0</v>
      </c>
      <c r="D12" s="258"/>
      <c r="E12" s="258"/>
    </row>
    <row r="13" spans="1:8" ht="51" x14ac:dyDescent="0.25">
      <c r="A13" s="22">
        <v>4</v>
      </c>
      <c r="B13" s="22" t="s">
        <v>448</v>
      </c>
      <c r="C13" s="146">
        <v>6.5275941560343753</v>
      </c>
      <c r="D13" s="146">
        <f>C13*$E$62/100*1.044*1.032</f>
        <v>7.1833450000036487</v>
      </c>
      <c r="E13" s="75" t="s">
        <v>408</v>
      </c>
    </row>
    <row r="14" spans="1:8" x14ac:dyDescent="0.25">
      <c r="A14" s="22">
        <v>5</v>
      </c>
      <c r="B14" s="22" t="s">
        <v>6</v>
      </c>
      <c r="C14" s="149">
        <f>C15</f>
        <v>1348.88</v>
      </c>
      <c r="D14" s="149">
        <f t="shared" ref="D14" si="0">D15</f>
        <v>1480</v>
      </c>
      <c r="E14" s="22"/>
    </row>
    <row r="15" spans="1:8" s="152" customFormat="1" x14ac:dyDescent="0.25">
      <c r="A15" s="7" t="s">
        <v>7</v>
      </c>
      <c r="B15" s="7" t="s">
        <v>169</v>
      </c>
      <c r="C15" s="130">
        <v>1348.88</v>
      </c>
      <c r="D15" s="130">
        <v>1480</v>
      </c>
      <c r="E15" s="150"/>
      <c r="F15" s="151"/>
    </row>
    <row r="16" spans="1:8" x14ac:dyDescent="0.25">
      <c r="A16" s="22">
        <v>6</v>
      </c>
      <c r="B16" s="22" t="s">
        <v>8</v>
      </c>
      <c r="C16" s="85">
        <f>'1.16'!D36</f>
        <v>4006.7421104810801</v>
      </c>
      <c r="D16" s="85">
        <f>'1.16'!E36</f>
        <v>4527.4087731515247</v>
      </c>
      <c r="E16" s="78" t="s">
        <v>292</v>
      </c>
    </row>
    <row r="17" spans="1:7" x14ac:dyDescent="0.25">
      <c r="A17" s="258"/>
      <c r="B17" s="7" t="s">
        <v>5</v>
      </c>
      <c r="C17" s="258">
        <v>0</v>
      </c>
      <c r="D17" s="258">
        <v>0</v>
      </c>
      <c r="E17" s="78"/>
    </row>
    <row r="18" spans="1:7" ht="25.5" x14ac:dyDescent="0.25">
      <c r="A18" s="22">
        <v>7</v>
      </c>
      <c r="B18" s="22" t="s">
        <v>9</v>
      </c>
      <c r="C18" s="80">
        <v>1053.4537940635696</v>
      </c>
      <c r="D18" s="80">
        <f>D16*F18</f>
        <v>1190.3476235410897</v>
      </c>
      <c r="E18" s="78" t="s">
        <v>409</v>
      </c>
      <c r="F18" s="31">
        <f>C18/C16</f>
        <v>0.2629202891066737</v>
      </c>
      <c r="G18" s="31">
        <f>F18+0.021</f>
        <v>0.28392028910667372</v>
      </c>
    </row>
    <row r="19" spans="1:7" x14ac:dyDescent="0.25">
      <c r="A19" s="258"/>
      <c r="B19" s="7" t="s">
        <v>5</v>
      </c>
      <c r="C19" s="86">
        <v>0</v>
      </c>
      <c r="D19" s="86">
        <v>0</v>
      </c>
      <c r="E19" s="78"/>
    </row>
    <row r="20" spans="1:7" x14ac:dyDescent="0.25">
      <c r="A20" s="22">
        <v>8</v>
      </c>
      <c r="B20" s="22" t="s">
        <v>10</v>
      </c>
      <c r="C20" s="146">
        <v>90.368906286094131</v>
      </c>
      <c r="D20" s="146">
        <f>'амортизация на 20'!N47/1000</f>
        <v>52.067920493066254</v>
      </c>
      <c r="E20" s="80" t="s">
        <v>297</v>
      </c>
      <c r="F20" s="151"/>
    </row>
    <row r="21" spans="1:7" x14ac:dyDescent="0.25">
      <c r="A21" s="22">
        <v>9</v>
      </c>
      <c r="B21" s="22" t="s">
        <v>11</v>
      </c>
      <c r="C21" s="87"/>
      <c r="D21" s="87"/>
      <c r="E21" s="258"/>
    </row>
    <row r="22" spans="1:7" x14ac:dyDescent="0.25">
      <c r="A22" s="7" t="s">
        <v>12</v>
      </c>
      <c r="B22" s="258" t="s">
        <v>13</v>
      </c>
      <c r="C22" s="258">
        <v>0</v>
      </c>
      <c r="D22" s="258">
        <v>0</v>
      </c>
      <c r="E22" s="258"/>
    </row>
    <row r="23" spans="1:7" x14ac:dyDescent="0.25">
      <c r="A23" s="7" t="s">
        <v>14</v>
      </c>
      <c r="B23" s="258" t="s">
        <v>15</v>
      </c>
      <c r="C23" s="258">
        <v>0</v>
      </c>
      <c r="D23" s="258">
        <v>0</v>
      </c>
      <c r="E23" s="258"/>
    </row>
    <row r="24" spans="1:7" x14ac:dyDescent="0.25">
      <c r="A24" s="7" t="s">
        <v>16</v>
      </c>
      <c r="B24" s="258" t="s">
        <v>50</v>
      </c>
      <c r="C24" s="258">
        <v>0</v>
      </c>
      <c r="D24" s="258">
        <v>0</v>
      </c>
      <c r="E24" s="258"/>
    </row>
    <row r="25" spans="1:7" ht="63.75" x14ac:dyDescent="0.25">
      <c r="A25" s="84" t="s">
        <v>17</v>
      </c>
      <c r="B25" s="258" t="s">
        <v>51</v>
      </c>
      <c r="C25" s="258">
        <v>0</v>
      </c>
      <c r="D25" s="258">
        <v>0</v>
      </c>
      <c r="E25" s="258"/>
    </row>
    <row r="26" spans="1:7" x14ac:dyDescent="0.25">
      <c r="A26" s="258" t="s">
        <v>18</v>
      </c>
      <c r="B26" s="258" t="s">
        <v>52</v>
      </c>
      <c r="C26" s="258">
        <v>0</v>
      </c>
      <c r="D26" s="258">
        <v>0</v>
      </c>
      <c r="E26" s="22"/>
    </row>
    <row r="27" spans="1:7" x14ac:dyDescent="0.25">
      <c r="A27" s="258" t="s">
        <v>19</v>
      </c>
      <c r="B27" s="258" t="s">
        <v>20</v>
      </c>
      <c r="C27" s="258">
        <v>0</v>
      </c>
      <c r="D27" s="258">
        <v>0</v>
      </c>
      <c r="E27" s="258"/>
    </row>
    <row r="28" spans="1:7" ht="25.5" x14ac:dyDescent="0.25">
      <c r="A28" s="258" t="s">
        <v>21</v>
      </c>
      <c r="B28" s="258" t="s">
        <v>53</v>
      </c>
      <c r="C28" s="258"/>
      <c r="D28" s="258"/>
      <c r="E28" s="258"/>
    </row>
    <row r="29" spans="1:7" x14ac:dyDescent="0.25">
      <c r="A29" s="7" t="s">
        <v>22</v>
      </c>
      <c r="B29" s="7" t="s">
        <v>23</v>
      </c>
      <c r="C29" s="258"/>
      <c r="D29" s="258"/>
      <c r="E29" s="258"/>
    </row>
    <row r="30" spans="1:7" x14ac:dyDescent="0.25">
      <c r="A30" s="7" t="s">
        <v>24</v>
      </c>
      <c r="B30" s="7" t="s">
        <v>25</v>
      </c>
      <c r="C30" s="258">
        <v>0</v>
      </c>
      <c r="D30" s="258">
        <v>0</v>
      </c>
      <c r="E30" s="258"/>
    </row>
    <row r="31" spans="1:7" x14ac:dyDescent="0.25">
      <c r="A31" s="7" t="s">
        <v>295</v>
      </c>
      <c r="B31" s="7" t="s">
        <v>296</v>
      </c>
      <c r="C31" s="130">
        <v>14.76417</v>
      </c>
      <c r="D31" s="130">
        <f>'налог_имущ_на 20'!R46/1000</f>
        <v>2.6734276271186443</v>
      </c>
      <c r="E31" s="75" t="s">
        <v>297</v>
      </c>
    </row>
    <row r="32" spans="1:7" x14ac:dyDescent="0.25">
      <c r="A32" s="258" t="s">
        <v>26</v>
      </c>
      <c r="B32" s="258" t="s">
        <v>54</v>
      </c>
      <c r="C32" s="78">
        <f>C33</f>
        <v>0</v>
      </c>
      <c r="D32" s="78">
        <v>0</v>
      </c>
      <c r="E32" s="258"/>
    </row>
    <row r="33" spans="1:8" x14ac:dyDescent="0.25">
      <c r="A33" s="7" t="s">
        <v>27</v>
      </c>
      <c r="B33" s="7" t="s">
        <v>28</v>
      </c>
      <c r="C33" s="130">
        <v>0</v>
      </c>
      <c r="D33" s="130">
        <v>0</v>
      </c>
      <c r="E33" s="75"/>
    </row>
    <row r="34" spans="1:8" ht="51" x14ac:dyDescent="0.25">
      <c r="A34" s="25" t="s">
        <v>61</v>
      </c>
      <c r="B34" s="25" t="s">
        <v>62</v>
      </c>
      <c r="C34" s="146">
        <v>2138.9269238137445</v>
      </c>
      <c r="D34" s="146">
        <f t="shared" ref="D34:D40" si="1">C34*$E$62/100*1.044*1.032</f>
        <v>2353.7998313432117</v>
      </c>
      <c r="E34" s="75" t="s">
        <v>408</v>
      </c>
    </row>
    <row r="35" spans="1:8" ht="51" x14ac:dyDescent="0.25">
      <c r="A35" s="25" t="s">
        <v>60</v>
      </c>
      <c r="B35" s="25" t="s">
        <v>63</v>
      </c>
      <c r="C35" s="146">
        <v>5293.6680743727293</v>
      </c>
      <c r="D35" s="146">
        <f t="shared" si="1"/>
        <v>5825.4608336168194</v>
      </c>
      <c r="E35" s="75" t="s">
        <v>408</v>
      </c>
    </row>
    <row r="36" spans="1:8" ht="51" x14ac:dyDescent="0.25">
      <c r="A36" s="25" t="s">
        <v>68</v>
      </c>
      <c r="B36" s="25" t="s">
        <v>64</v>
      </c>
      <c r="C36" s="78">
        <v>188.06997999999999</v>
      </c>
      <c r="D36" s="78">
        <f t="shared" si="1"/>
        <v>206.96316563046327</v>
      </c>
      <c r="E36" s="75" t="s">
        <v>408</v>
      </c>
      <c r="F36" s="147"/>
    </row>
    <row r="37" spans="1:8" ht="51" x14ac:dyDescent="0.25">
      <c r="A37" s="25" t="s">
        <v>69</v>
      </c>
      <c r="B37" s="25" t="s">
        <v>65</v>
      </c>
      <c r="C37" s="78">
        <v>823.43917999999996</v>
      </c>
      <c r="D37" s="78">
        <f t="shared" si="1"/>
        <v>906.16045897890149</v>
      </c>
      <c r="E37" s="75" t="s">
        <v>408</v>
      </c>
      <c r="F37" s="147"/>
    </row>
    <row r="38" spans="1:8" ht="51" x14ac:dyDescent="0.25">
      <c r="A38" s="25" t="s">
        <v>70</v>
      </c>
      <c r="B38" s="25" t="s">
        <v>66</v>
      </c>
      <c r="C38" s="78">
        <v>3.4343182785320399E-2</v>
      </c>
      <c r="D38" s="78">
        <f t="shared" si="1"/>
        <v>3.7793239660447356E-2</v>
      </c>
      <c r="E38" s="75" t="s">
        <v>408</v>
      </c>
      <c r="F38" s="147"/>
    </row>
    <row r="39" spans="1:8" x14ac:dyDescent="0.25">
      <c r="A39" s="25" t="s">
        <v>71</v>
      </c>
      <c r="B39" s="25" t="s">
        <v>67</v>
      </c>
      <c r="C39" s="75">
        <v>0</v>
      </c>
      <c r="D39" s="75">
        <f t="shared" si="1"/>
        <v>0</v>
      </c>
      <c r="E39" s="75"/>
      <c r="F39" s="147"/>
    </row>
    <row r="40" spans="1:8" ht="51" x14ac:dyDescent="0.25">
      <c r="A40" s="25" t="s">
        <v>73</v>
      </c>
      <c r="B40" s="25" t="s">
        <v>72</v>
      </c>
      <c r="C40" s="75">
        <v>4.40496</v>
      </c>
      <c r="D40" s="75">
        <f t="shared" si="1"/>
        <v>4.8474746797738018</v>
      </c>
      <c r="E40" s="75" t="s">
        <v>408</v>
      </c>
      <c r="F40" s="147"/>
    </row>
    <row r="41" spans="1:8" x14ac:dyDescent="0.25">
      <c r="A41" s="25" t="s">
        <v>75</v>
      </c>
      <c r="B41" s="25" t="s">
        <v>74</v>
      </c>
      <c r="C41" s="153">
        <v>83.241799999999998</v>
      </c>
      <c r="D41" s="153">
        <f>расшифровки_2018!H27/1000</f>
        <v>135.38599241417566</v>
      </c>
      <c r="E41" s="78" t="s">
        <v>292</v>
      </c>
      <c r="F41" s="65"/>
      <c r="G41" s="65"/>
      <c r="H41" s="65"/>
    </row>
    <row r="42" spans="1:8" s="148" customFormat="1" ht="15.75" x14ac:dyDescent="0.25">
      <c r="A42" s="154" t="s">
        <v>170</v>
      </c>
      <c r="B42" s="76" t="s">
        <v>412</v>
      </c>
      <c r="C42" s="75">
        <v>8797.4557199999999</v>
      </c>
      <c r="D42" s="75">
        <v>26000</v>
      </c>
      <c r="E42" s="88"/>
      <c r="F42" s="151"/>
    </row>
    <row r="43" spans="1:8" x14ac:dyDescent="0.25">
      <c r="A43" s="22">
        <v>10</v>
      </c>
      <c r="B43" s="22" t="s">
        <v>29</v>
      </c>
      <c r="C43" s="80">
        <f>SUM(C8:C42)-C15-C33</f>
        <v>23865.134577673543</v>
      </c>
      <c r="D43" s="80">
        <f>SUM(D8:D42)-D15</f>
        <v>42709.016309237748</v>
      </c>
      <c r="E43" s="80"/>
    </row>
    <row r="44" spans="1:8" x14ac:dyDescent="0.25">
      <c r="A44" s="258"/>
      <c r="B44" s="7" t="s">
        <v>5</v>
      </c>
      <c r="C44" s="89">
        <f>C36+C37+C38+C39</f>
        <v>1011.5435031827852</v>
      </c>
      <c r="D44" s="89">
        <f t="shared" ref="D44" si="2">D36+D37+D38+D39</f>
        <v>1113.1614178490252</v>
      </c>
      <c r="E44" s="89"/>
    </row>
    <row r="45" spans="1:8" x14ac:dyDescent="0.25">
      <c r="A45" s="258">
        <v>11</v>
      </c>
      <c r="B45" s="258" t="s">
        <v>55</v>
      </c>
      <c r="C45" s="258">
        <v>0</v>
      </c>
      <c r="D45" s="258">
        <v>0</v>
      </c>
      <c r="E45" s="258"/>
    </row>
    <row r="46" spans="1:8" x14ac:dyDescent="0.25">
      <c r="A46" s="258">
        <v>12</v>
      </c>
      <c r="B46" s="258" t="s">
        <v>56</v>
      </c>
      <c r="C46" s="258">
        <v>0</v>
      </c>
      <c r="D46" s="258">
        <v>0</v>
      </c>
      <c r="E46" s="258"/>
    </row>
    <row r="47" spans="1:8" x14ac:dyDescent="0.25">
      <c r="A47" s="258">
        <v>13</v>
      </c>
      <c r="B47" s="258" t="s">
        <v>57</v>
      </c>
      <c r="C47" s="258"/>
      <c r="D47" s="258"/>
      <c r="E47" s="258"/>
    </row>
    <row r="48" spans="1:8" x14ac:dyDescent="0.25">
      <c r="A48" s="258"/>
      <c r="B48" s="155" t="s">
        <v>30</v>
      </c>
      <c r="C48" s="258"/>
      <c r="D48" s="258"/>
      <c r="E48" s="258"/>
    </row>
    <row r="49" spans="1:5" ht="93.75" x14ac:dyDescent="0.25">
      <c r="A49" s="156" t="s">
        <v>31</v>
      </c>
      <c r="B49" s="156" t="s">
        <v>32</v>
      </c>
      <c r="C49" s="202">
        <f>C43</f>
        <v>23865.134577673543</v>
      </c>
      <c r="D49" s="137">
        <f>D43+D45</f>
        <v>42709.016309237748</v>
      </c>
      <c r="E49" s="137" t="s">
        <v>443</v>
      </c>
    </row>
    <row r="50" spans="1:5" x14ac:dyDescent="0.25">
      <c r="A50" s="7" t="s">
        <v>33</v>
      </c>
      <c r="B50" s="7" t="s">
        <v>34</v>
      </c>
      <c r="C50" s="258"/>
      <c r="D50" s="258"/>
      <c r="E50" s="258"/>
    </row>
    <row r="51" spans="1:5" x14ac:dyDescent="0.25">
      <c r="A51" s="7" t="s">
        <v>35</v>
      </c>
      <c r="B51" s="7" t="s">
        <v>36</v>
      </c>
      <c r="C51" s="258"/>
      <c r="D51" s="258"/>
      <c r="E51" s="258"/>
    </row>
    <row r="52" spans="1:5" x14ac:dyDescent="0.25">
      <c r="A52" s="155" t="s">
        <v>37</v>
      </c>
      <c r="B52" s="155" t="s">
        <v>38</v>
      </c>
      <c r="C52" s="90">
        <f>C43</f>
        <v>23865.134577673543</v>
      </c>
      <c r="D52" s="90">
        <f>D49</f>
        <v>42709.016309237748</v>
      </c>
      <c r="E52" s="90"/>
    </row>
    <row r="53" spans="1:5" x14ac:dyDescent="0.25">
      <c r="A53" s="7" t="s">
        <v>39</v>
      </c>
      <c r="B53" s="7" t="s">
        <v>40</v>
      </c>
      <c r="C53" s="258"/>
      <c r="D53" s="258"/>
      <c r="E53" s="258"/>
    </row>
    <row r="54" spans="1:5" x14ac:dyDescent="0.25">
      <c r="A54" s="7" t="s">
        <v>41</v>
      </c>
      <c r="B54" s="7" t="s">
        <v>42</v>
      </c>
      <c r="C54" s="258"/>
      <c r="D54" s="258"/>
      <c r="E54" s="258"/>
    </row>
    <row r="55" spans="1:5" x14ac:dyDescent="0.25">
      <c r="A55" s="7" t="s">
        <v>43</v>
      </c>
      <c r="B55" s="7" t="s">
        <v>44</v>
      </c>
      <c r="C55" s="258"/>
      <c r="D55" s="258"/>
      <c r="E55" s="258"/>
    </row>
    <row r="56" spans="1:5" x14ac:dyDescent="0.25">
      <c r="A56" s="7" t="s">
        <v>45</v>
      </c>
      <c r="B56" s="7" t="s">
        <v>46</v>
      </c>
      <c r="C56" s="258"/>
      <c r="D56" s="258"/>
      <c r="E56" s="258"/>
    </row>
    <row r="57" spans="1:5" x14ac:dyDescent="0.25">
      <c r="A57" s="7" t="s">
        <v>47</v>
      </c>
      <c r="B57" s="7" t="s">
        <v>48</v>
      </c>
      <c r="C57" s="258"/>
      <c r="D57" s="258"/>
      <c r="E57" s="258"/>
    </row>
    <row r="59" spans="1:5" x14ac:dyDescent="0.25">
      <c r="A59" s="319" t="s">
        <v>300</v>
      </c>
      <c r="B59" s="319"/>
      <c r="C59" s="319"/>
      <c r="D59" s="319"/>
      <c r="E59" s="319"/>
    </row>
    <row r="60" spans="1:5" ht="25.5" x14ac:dyDescent="0.25">
      <c r="A60" s="157"/>
      <c r="B60" s="7"/>
      <c r="C60" s="93" t="s">
        <v>401</v>
      </c>
      <c r="D60" s="93" t="s">
        <v>402</v>
      </c>
      <c r="E60" s="93" t="s">
        <v>304</v>
      </c>
    </row>
    <row r="61" spans="1:5" x14ac:dyDescent="0.25">
      <c r="A61" s="157">
        <v>1</v>
      </c>
      <c r="B61" s="158" t="s">
        <v>301</v>
      </c>
      <c r="C61" s="260">
        <f>'1.16'!C40</f>
        <v>82620.876000000004</v>
      </c>
      <c r="D61" s="260">
        <f>'1.16'!D40</f>
        <v>85650</v>
      </c>
      <c r="E61" s="159">
        <f>D61/C61*100</f>
        <v>103.66629373428576</v>
      </c>
    </row>
    <row r="62" spans="1:5" ht="30" x14ac:dyDescent="0.25">
      <c r="A62" s="157">
        <v>2</v>
      </c>
      <c r="B62" s="158" t="s">
        <v>302</v>
      </c>
      <c r="C62" s="260">
        <f>'1.16'!C41</f>
        <v>11454.931</v>
      </c>
      <c r="D62" s="260">
        <f>'1.16'!D41</f>
        <v>11700</v>
      </c>
      <c r="E62" s="160">
        <f>D62/C62*100</f>
        <v>102.1394192597057</v>
      </c>
    </row>
    <row r="63" spans="1:5" x14ac:dyDescent="0.25">
      <c r="A63" s="157">
        <v>3</v>
      </c>
      <c r="B63" s="161" t="s">
        <v>303</v>
      </c>
      <c r="C63" s="128">
        <f>'1.16'!C42</f>
        <v>94075.807000000001</v>
      </c>
      <c r="D63" s="128">
        <f>'1.16'!D42</f>
        <v>97350</v>
      </c>
      <c r="E63" s="162">
        <f>D63/C63*100</f>
        <v>103.48037726638901</v>
      </c>
    </row>
    <row r="65" spans="1:7" x14ac:dyDescent="0.25">
      <c r="A65" s="316" t="s">
        <v>172</v>
      </c>
      <c r="B65" s="316"/>
      <c r="C65" s="163"/>
      <c r="E65" s="164" t="s">
        <v>173</v>
      </c>
      <c r="G65" s="165"/>
    </row>
    <row r="66" spans="1:7" x14ac:dyDescent="0.25">
      <c r="A66" s="317" t="s">
        <v>174</v>
      </c>
      <c r="B66" s="317"/>
      <c r="C66" s="142" t="s">
        <v>176</v>
      </c>
      <c r="E66" s="166" t="s">
        <v>175</v>
      </c>
      <c r="G66" s="166"/>
    </row>
    <row r="68" spans="1:7" x14ac:dyDescent="0.25">
      <c r="B68" s="31" t="s">
        <v>195</v>
      </c>
    </row>
    <row r="71" spans="1:7" x14ac:dyDescent="0.25">
      <c r="C71" s="31">
        <v>23865.139276733957</v>
      </c>
    </row>
    <row r="72" spans="1:7" x14ac:dyDescent="0.25">
      <c r="C72" s="263">
        <f>C43-C71</f>
        <v>-4.6990604132588487E-3</v>
      </c>
      <c r="E72" s="167"/>
    </row>
  </sheetData>
  <mergeCells count="4">
    <mergeCell ref="A65:B65"/>
    <mergeCell ref="A66:B66"/>
    <mergeCell ref="A59:E59"/>
    <mergeCell ref="A3:E3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72"/>
  <sheetViews>
    <sheetView view="pageBreakPreview" zoomScaleNormal="55" zoomScaleSheetLayoutView="100" workbookViewId="0">
      <selection activeCell="D52" sqref="D52"/>
    </sheetView>
  </sheetViews>
  <sheetFormatPr defaultRowHeight="15" x14ac:dyDescent="0.25"/>
  <cols>
    <col min="1" max="1" width="7.140625" style="12" customWidth="1"/>
    <col min="2" max="2" width="50.42578125" customWidth="1"/>
    <col min="3" max="3" width="22" style="11" customWidth="1"/>
    <col min="4" max="4" width="26.7109375" customWidth="1"/>
    <col min="5" max="5" width="33" customWidth="1"/>
    <col min="6" max="6" width="16.7109375" style="11" customWidth="1"/>
    <col min="7" max="7" width="25.140625" style="11" customWidth="1"/>
    <col min="8" max="9" width="16.7109375" style="11" customWidth="1"/>
    <col min="10" max="10" width="25.42578125" customWidth="1"/>
  </cols>
  <sheetData>
    <row r="1" spans="1:10" s="11" customFormat="1" x14ac:dyDescent="0.25">
      <c r="A1" s="12"/>
      <c r="E1" s="9" t="s">
        <v>194</v>
      </c>
      <c r="F1" s="1"/>
    </row>
    <row r="2" spans="1:10" ht="15.75" x14ac:dyDescent="0.25">
      <c r="A2" s="321" t="s">
        <v>196</v>
      </c>
      <c r="B2" s="321"/>
      <c r="C2" s="321"/>
      <c r="D2" s="321"/>
      <c r="E2" s="321"/>
      <c r="F2" s="28"/>
      <c r="G2" s="28"/>
      <c r="H2" s="28"/>
      <c r="I2" s="28"/>
      <c r="J2" s="28"/>
    </row>
    <row r="3" spans="1:10" x14ac:dyDescent="0.25">
      <c r="A3" s="1"/>
    </row>
    <row r="4" spans="1:10" x14ac:dyDescent="0.25">
      <c r="A4" s="1"/>
      <c r="C4"/>
      <c r="D4" s="2"/>
      <c r="E4" s="2" t="s">
        <v>0</v>
      </c>
      <c r="F4" s="2"/>
      <c r="G4" s="2"/>
      <c r="H4" s="2"/>
      <c r="I4"/>
    </row>
    <row r="5" spans="1:10" ht="15" customHeight="1" x14ac:dyDescent="0.25">
      <c r="A5" s="325" t="s">
        <v>186</v>
      </c>
      <c r="B5" s="326" t="s">
        <v>130</v>
      </c>
      <c r="C5" s="325" t="s">
        <v>403</v>
      </c>
      <c r="D5" s="327" t="s">
        <v>400</v>
      </c>
      <c r="E5" s="322" t="s">
        <v>59</v>
      </c>
      <c r="F5"/>
      <c r="G5"/>
      <c r="H5"/>
      <c r="I5"/>
    </row>
    <row r="6" spans="1:10" ht="15.75" customHeight="1" x14ac:dyDescent="0.25">
      <c r="A6" s="325"/>
      <c r="B6" s="326"/>
      <c r="C6" s="325"/>
      <c r="D6" s="328"/>
      <c r="E6" s="323"/>
      <c r="F6"/>
      <c r="G6"/>
      <c r="H6"/>
      <c r="I6"/>
    </row>
    <row r="7" spans="1:10" x14ac:dyDescent="0.25">
      <c r="A7" s="325"/>
      <c r="B7" s="326"/>
      <c r="C7" s="77" t="s">
        <v>228</v>
      </c>
      <c r="D7" s="77" t="s">
        <v>228</v>
      </c>
      <c r="E7" s="324"/>
      <c r="F7"/>
      <c r="G7"/>
      <c r="H7"/>
      <c r="I7"/>
    </row>
    <row r="8" spans="1:10" x14ac:dyDescent="0.25">
      <c r="A8" s="4">
        <v>1</v>
      </c>
      <c r="B8" s="4">
        <v>2</v>
      </c>
      <c r="C8" s="56">
        <v>3</v>
      </c>
      <c r="D8" s="56">
        <v>5</v>
      </c>
      <c r="E8" s="56">
        <v>6</v>
      </c>
      <c r="F8"/>
      <c r="G8"/>
      <c r="H8"/>
      <c r="I8"/>
    </row>
    <row r="9" spans="1:10" ht="25.5" x14ac:dyDescent="0.25">
      <c r="A9" s="5">
        <v>1</v>
      </c>
      <c r="B9" s="22" t="s">
        <v>131</v>
      </c>
      <c r="C9" s="78">
        <f>'1.15'!C16</f>
        <v>4006.7421104810801</v>
      </c>
      <c r="D9" s="78">
        <f>'1.15'!D16</f>
        <v>4527.4087731515247</v>
      </c>
      <c r="E9" s="23"/>
      <c r="F9"/>
      <c r="G9"/>
      <c r="H9"/>
      <c r="I9"/>
    </row>
    <row r="10" spans="1:10" ht="25.5" x14ac:dyDescent="0.25">
      <c r="A10" s="5">
        <v>2</v>
      </c>
      <c r="B10" s="22" t="s">
        <v>160</v>
      </c>
      <c r="C10" s="123" t="s">
        <v>179</v>
      </c>
      <c r="D10" s="123" t="s">
        <v>179</v>
      </c>
      <c r="E10" s="23"/>
      <c r="F10"/>
      <c r="G10"/>
      <c r="H10"/>
      <c r="I10"/>
    </row>
    <row r="11" spans="1:10" ht="25.5" x14ac:dyDescent="0.25">
      <c r="A11" s="5">
        <v>3</v>
      </c>
      <c r="B11" s="22" t="s">
        <v>161</v>
      </c>
      <c r="C11" s="78">
        <f>'1.15'!C18</f>
        <v>1053.4537940635696</v>
      </c>
      <c r="D11" s="78">
        <f>'1.15'!D18</f>
        <v>1190.3476235410897</v>
      </c>
      <c r="E11" s="23"/>
      <c r="F11"/>
      <c r="G11" t="s">
        <v>227</v>
      </c>
      <c r="H11"/>
      <c r="I11"/>
    </row>
    <row r="12" spans="1:10" ht="25.5" x14ac:dyDescent="0.25">
      <c r="A12" s="5">
        <v>4</v>
      </c>
      <c r="B12" s="22" t="s">
        <v>159</v>
      </c>
      <c r="C12" s="78">
        <f t="shared" ref="C12:D12" si="0">C13+C19+C20</f>
        <v>1101.9124094688793</v>
      </c>
      <c r="D12" s="78">
        <f t="shared" si="0"/>
        <v>1165.2293383420915</v>
      </c>
      <c r="E12" s="23"/>
      <c r="F12"/>
      <c r="G12"/>
      <c r="H12"/>
      <c r="I12"/>
    </row>
    <row r="13" spans="1:10" x14ac:dyDescent="0.25">
      <c r="A13" s="4" t="s">
        <v>132</v>
      </c>
      <c r="B13" s="6" t="s">
        <v>133</v>
      </c>
      <c r="C13" s="75">
        <f>'1.15'!C20</f>
        <v>90.368906286094131</v>
      </c>
      <c r="D13" s="75">
        <f>'амортизация на 20'!N47/1000</f>
        <v>52.067920493066254</v>
      </c>
      <c r="E13" s="40"/>
      <c r="F13"/>
      <c r="G13"/>
      <c r="H13"/>
      <c r="I13"/>
    </row>
    <row r="14" spans="1:10" x14ac:dyDescent="0.25">
      <c r="A14" s="4"/>
      <c r="B14" s="82" t="s">
        <v>134</v>
      </c>
      <c r="C14" s="168">
        <v>17.064981958775871</v>
      </c>
      <c r="D14" s="168">
        <f>'амортизация на 20'!K51/1000</f>
        <v>0</v>
      </c>
      <c r="E14" s="23"/>
      <c r="F14"/>
      <c r="G14"/>
      <c r="H14"/>
      <c r="I14"/>
    </row>
    <row r="15" spans="1:10" x14ac:dyDescent="0.25">
      <c r="A15" s="4"/>
      <c r="B15" s="82" t="s">
        <v>135</v>
      </c>
      <c r="C15" s="168">
        <v>0</v>
      </c>
      <c r="D15" s="168">
        <v>0</v>
      </c>
      <c r="E15" s="23"/>
      <c r="F15"/>
      <c r="G15"/>
      <c r="H15"/>
      <c r="I15"/>
    </row>
    <row r="16" spans="1:10" x14ac:dyDescent="0.25">
      <c r="A16" s="4"/>
      <c r="B16" s="82" t="s">
        <v>136</v>
      </c>
      <c r="C16" s="168">
        <v>27.877062480447055</v>
      </c>
      <c r="D16" s="168">
        <f>'амортизация на 20'!K52/1000</f>
        <v>18.796437596302003</v>
      </c>
      <c r="E16" s="23"/>
      <c r="F16"/>
      <c r="G16"/>
      <c r="H16"/>
      <c r="I16"/>
    </row>
    <row r="17" spans="1:9" x14ac:dyDescent="0.25">
      <c r="A17" s="4"/>
      <c r="B17" s="82" t="s">
        <v>137</v>
      </c>
      <c r="C17" s="168">
        <v>0.58635951511459417</v>
      </c>
      <c r="D17" s="168">
        <f>'амортизация на 20'!K53/1000</f>
        <v>0</v>
      </c>
      <c r="E17" s="23"/>
      <c r="F17"/>
      <c r="G17"/>
      <c r="H17"/>
      <c r="I17"/>
    </row>
    <row r="18" spans="1:9" s="11" customFormat="1" x14ac:dyDescent="0.25">
      <c r="A18" s="4"/>
      <c r="B18" s="82" t="s">
        <v>177</v>
      </c>
      <c r="C18" s="168">
        <v>44.84050233175661</v>
      </c>
      <c r="D18" s="168">
        <f>'амортизация на 20'!K54/1000</f>
        <v>33.271482896764255</v>
      </c>
      <c r="E18" s="23"/>
    </row>
    <row r="19" spans="1:9" x14ac:dyDescent="0.25">
      <c r="A19" s="4" t="s">
        <v>138</v>
      </c>
      <c r="B19" s="6" t="s">
        <v>139</v>
      </c>
      <c r="C19" s="124">
        <v>0</v>
      </c>
      <c r="D19" s="124">
        <v>0</v>
      </c>
      <c r="E19" s="23"/>
      <c r="F19"/>
      <c r="G19"/>
      <c r="H19"/>
      <c r="I19"/>
    </row>
    <row r="20" spans="1:9" ht="30" x14ac:dyDescent="0.25">
      <c r="A20" s="4" t="s">
        <v>140</v>
      </c>
      <c r="B20" s="6" t="s">
        <v>162</v>
      </c>
      <c r="C20" s="78">
        <f>'1.15'!C36+'1.15'!C37+'1.15'!C38+'1.15'!C39</f>
        <v>1011.5435031827852</v>
      </c>
      <c r="D20" s="78">
        <f>'1.15'!D36+'1.15'!D37+'1.15'!D38+'1.15'!D39</f>
        <v>1113.1614178490252</v>
      </c>
      <c r="E20" s="24" t="s">
        <v>187</v>
      </c>
      <c r="F20"/>
      <c r="G20"/>
      <c r="H20"/>
      <c r="I20"/>
    </row>
    <row r="21" spans="1:9" ht="25.5" x14ac:dyDescent="0.25">
      <c r="A21" s="5">
        <v>5</v>
      </c>
      <c r="B21" s="22" t="s">
        <v>163</v>
      </c>
      <c r="C21" s="123" t="s">
        <v>179</v>
      </c>
      <c r="D21" s="123" t="s">
        <v>179</v>
      </c>
      <c r="E21" s="23"/>
      <c r="F21"/>
      <c r="G21"/>
      <c r="H21"/>
      <c r="I21"/>
    </row>
    <row r="22" spans="1:9" x14ac:dyDescent="0.25">
      <c r="A22" s="5">
        <v>6</v>
      </c>
      <c r="B22" s="22" t="s">
        <v>141</v>
      </c>
      <c r="C22" s="78">
        <f>'1.15'!C34</f>
        <v>2138.9269238137445</v>
      </c>
      <c r="D22" s="78">
        <f>'1.15'!D34</f>
        <v>2353.7998313432117</v>
      </c>
      <c r="E22" s="23"/>
      <c r="F22"/>
      <c r="G22"/>
      <c r="H22"/>
      <c r="I22"/>
    </row>
    <row r="23" spans="1:9" x14ac:dyDescent="0.25">
      <c r="A23" s="5">
        <v>7</v>
      </c>
      <c r="B23" s="22" t="s">
        <v>142</v>
      </c>
      <c r="C23" s="78">
        <f>'1.15'!C35</f>
        <v>5293.6680743727293</v>
      </c>
      <c r="D23" s="78">
        <f>'1.15'!D35</f>
        <v>5825.4608336168194</v>
      </c>
      <c r="E23" s="23"/>
      <c r="F23"/>
      <c r="G23"/>
      <c r="H23"/>
      <c r="I23"/>
    </row>
    <row r="24" spans="1:9" x14ac:dyDescent="0.25">
      <c r="A24" s="4" t="s">
        <v>143</v>
      </c>
      <c r="B24" s="6" t="s">
        <v>144</v>
      </c>
      <c r="C24" s="123" t="s">
        <v>179</v>
      </c>
      <c r="D24" s="123" t="s">
        <v>179</v>
      </c>
      <c r="E24" s="23"/>
      <c r="F24"/>
      <c r="G24"/>
      <c r="H24"/>
      <c r="I24"/>
    </row>
    <row r="25" spans="1:9" x14ac:dyDescent="0.25">
      <c r="A25" s="4" t="s">
        <v>145</v>
      </c>
      <c r="B25" s="6" t="s">
        <v>146</v>
      </c>
      <c r="C25" s="123" t="s">
        <v>179</v>
      </c>
      <c r="D25" s="123" t="s">
        <v>179</v>
      </c>
      <c r="E25" s="23"/>
      <c r="F25"/>
      <c r="G25"/>
      <c r="H25"/>
      <c r="I25"/>
    </row>
    <row r="26" spans="1:9" ht="25.5" x14ac:dyDescent="0.25">
      <c r="A26" s="4" t="s">
        <v>147</v>
      </c>
      <c r="B26" s="6" t="s">
        <v>164</v>
      </c>
      <c r="C26" s="123" t="s">
        <v>179</v>
      </c>
      <c r="D26" s="123" t="s">
        <v>179</v>
      </c>
      <c r="E26" s="23"/>
      <c r="F26"/>
      <c r="G26"/>
      <c r="H26"/>
      <c r="I26"/>
    </row>
    <row r="27" spans="1:9" ht="25.5" x14ac:dyDescent="0.25">
      <c r="A27" s="4" t="s">
        <v>148</v>
      </c>
      <c r="B27" s="6" t="s">
        <v>165</v>
      </c>
      <c r="C27" s="123" t="s">
        <v>179</v>
      </c>
      <c r="D27" s="123" t="s">
        <v>179</v>
      </c>
      <c r="E27" s="23"/>
      <c r="F27"/>
      <c r="G27"/>
      <c r="H27"/>
      <c r="I27"/>
    </row>
    <row r="28" spans="1:9" ht="25.5" x14ac:dyDescent="0.25">
      <c r="A28" s="4" t="s">
        <v>149</v>
      </c>
      <c r="B28" s="6" t="s">
        <v>166</v>
      </c>
      <c r="C28" s="123" t="s">
        <v>179</v>
      </c>
      <c r="D28" s="123" t="s">
        <v>179</v>
      </c>
      <c r="E28" s="23"/>
      <c r="F28"/>
      <c r="G28"/>
      <c r="H28"/>
      <c r="I28"/>
    </row>
    <row r="29" spans="1:9" x14ac:dyDescent="0.25">
      <c r="A29" s="4"/>
      <c r="B29" s="6" t="s">
        <v>151</v>
      </c>
      <c r="C29" s="123" t="s">
        <v>179</v>
      </c>
      <c r="D29" s="123" t="s">
        <v>179</v>
      </c>
      <c r="E29" s="23"/>
      <c r="F29"/>
      <c r="G29"/>
      <c r="H29"/>
      <c r="I29"/>
    </row>
    <row r="30" spans="1:9" x14ac:dyDescent="0.25">
      <c r="A30" s="4"/>
      <c r="B30" s="6" t="s">
        <v>134</v>
      </c>
      <c r="C30" s="123" t="s">
        <v>179</v>
      </c>
      <c r="D30" s="123" t="s">
        <v>179</v>
      </c>
      <c r="E30" s="23"/>
      <c r="F30"/>
      <c r="G30"/>
      <c r="H30"/>
      <c r="I30"/>
    </row>
    <row r="31" spans="1:9" x14ac:dyDescent="0.25">
      <c r="A31" s="4"/>
      <c r="B31" s="6" t="s">
        <v>135</v>
      </c>
      <c r="C31" s="123" t="s">
        <v>179</v>
      </c>
      <c r="D31" s="123" t="s">
        <v>179</v>
      </c>
      <c r="E31" s="23"/>
      <c r="F31"/>
      <c r="G31"/>
      <c r="H31"/>
      <c r="I31"/>
    </row>
    <row r="32" spans="1:9" x14ac:dyDescent="0.25">
      <c r="A32" s="4"/>
      <c r="B32" s="6" t="s">
        <v>136</v>
      </c>
      <c r="C32" s="123" t="s">
        <v>179</v>
      </c>
      <c r="D32" s="123" t="s">
        <v>179</v>
      </c>
      <c r="E32" s="23"/>
      <c r="F32"/>
      <c r="G32"/>
      <c r="H32"/>
      <c r="I32"/>
    </row>
    <row r="33" spans="1:9" x14ac:dyDescent="0.25">
      <c r="A33" s="4"/>
      <c r="B33" s="6" t="s">
        <v>137</v>
      </c>
      <c r="C33" s="123" t="s">
        <v>179</v>
      </c>
      <c r="D33" s="123" t="s">
        <v>179</v>
      </c>
      <c r="E33" s="23"/>
      <c r="F33"/>
      <c r="G33"/>
      <c r="H33"/>
      <c r="I33"/>
    </row>
    <row r="34" spans="1:9" ht="25.5" x14ac:dyDescent="0.25">
      <c r="A34" s="5">
        <v>8</v>
      </c>
      <c r="B34" s="22" t="s">
        <v>167</v>
      </c>
      <c r="C34" s="79">
        <f>SUM(C35:C43)</f>
        <v>10270.431265473537</v>
      </c>
      <c r="D34" s="79">
        <f>SUM(D35:D43)</f>
        <v>27646.769909243019</v>
      </c>
      <c r="E34" s="23"/>
      <c r="F34"/>
      <c r="G34"/>
      <c r="H34"/>
      <c r="I34"/>
    </row>
    <row r="35" spans="1:9" x14ac:dyDescent="0.25">
      <c r="A35" s="4" t="s">
        <v>180</v>
      </c>
      <c r="B35" s="6" t="s">
        <v>152</v>
      </c>
      <c r="C35" s="78">
        <f>'1.15'!C33</f>
        <v>0</v>
      </c>
      <c r="D35" s="78">
        <f>'1.15'!D33</f>
        <v>0</v>
      </c>
      <c r="E35" s="23"/>
      <c r="F35"/>
      <c r="G35"/>
      <c r="H35"/>
      <c r="I35"/>
    </row>
    <row r="36" spans="1:9" s="11" customFormat="1" x14ac:dyDescent="0.25">
      <c r="A36" s="4" t="s">
        <v>182</v>
      </c>
      <c r="B36" s="25" t="s">
        <v>72</v>
      </c>
      <c r="C36" s="78">
        <f>'1.15'!C40</f>
        <v>4.40496</v>
      </c>
      <c r="D36" s="78">
        <f>'1.15'!D40</f>
        <v>4.8474746797738018</v>
      </c>
      <c r="E36" s="23"/>
    </row>
    <row r="37" spans="1:9" s="11" customFormat="1" ht="15.75" x14ac:dyDescent="0.25">
      <c r="A37" s="4" t="s">
        <v>183</v>
      </c>
      <c r="B37" s="10" t="s">
        <v>74</v>
      </c>
      <c r="C37" s="78">
        <f>'1.15'!C41</f>
        <v>83.241799999999998</v>
      </c>
      <c r="D37" s="78">
        <f>'1.15'!D41</f>
        <v>135.38599241417566</v>
      </c>
      <c r="E37" s="23"/>
    </row>
    <row r="38" spans="1:9" s="11" customFormat="1" ht="31.5" x14ac:dyDescent="0.25">
      <c r="A38" s="4" t="s">
        <v>184</v>
      </c>
      <c r="B38" s="10" t="s">
        <v>171</v>
      </c>
      <c r="C38" s="80">
        <f>'1.15'!C42</f>
        <v>8797.4557199999999</v>
      </c>
      <c r="D38" s="80">
        <f>'1.15'!D42</f>
        <v>26000</v>
      </c>
      <c r="E38" s="23"/>
    </row>
    <row r="39" spans="1:9" s="11" customFormat="1" x14ac:dyDescent="0.25">
      <c r="A39" s="4" t="s">
        <v>185</v>
      </c>
      <c r="B39" s="6" t="s">
        <v>181</v>
      </c>
      <c r="C39" s="78">
        <f>'1.15'!C15</f>
        <v>1348.88</v>
      </c>
      <c r="D39" s="78">
        <f>'1.15'!D15</f>
        <v>1480</v>
      </c>
      <c r="E39" s="23"/>
    </row>
    <row r="40" spans="1:9" s="11" customFormat="1" x14ac:dyDescent="0.25">
      <c r="A40" s="4" t="s">
        <v>190</v>
      </c>
      <c r="B40" s="6" t="s">
        <v>188</v>
      </c>
      <c r="C40" s="78">
        <f>'1.15'!C11</f>
        <v>0.55162999999999995</v>
      </c>
      <c r="D40" s="78">
        <f>'1.15'!D11</f>
        <v>0.60704579782872548</v>
      </c>
      <c r="E40" s="23"/>
    </row>
    <row r="41" spans="1:9" s="11" customFormat="1" x14ac:dyDescent="0.25">
      <c r="A41" s="4" t="s">
        <v>191</v>
      </c>
      <c r="B41" s="6" t="s">
        <v>189</v>
      </c>
      <c r="C41" s="78">
        <f>'1.15'!C8</f>
        <v>14.605391317503297</v>
      </c>
      <c r="D41" s="78">
        <f>'1.15'!D8</f>
        <v>16.07262372411676</v>
      </c>
      <c r="E41" s="23"/>
    </row>
    <row r="42" spans="1:9" s="11" customFormat="1" x14ac:dyDescent="0.25">
      <c r="A42" s="56" t="s">
        <v>299</v>
      </c>
      <c r="B42" s="63" t="s">
        <v>293</v>
      </c>
      <c r="C42" s="78">
        <f>'1.15'!C31</f>
        <v>14.76417</v>
      </c>
      <c r="D42" s="78">
        <f>'1.15'!D31</f>
        <v>2.6734276271186443</v>
      </c>
      <c r="E42" s="23" t="s">
        <v>294</v>
      </c>
    </row>
    <row r="43" spans="1:9" s="11" customFormat="1" x14ac:dyDescent="0.25">
      <c r="A43" s="257" t="s">
        <v>410</v>
      </c>
      <c r="B43" s="63" t="s">
        <v>411</v>
      </c>
      <c r="C43" s="78">
        <f>'1.15'!C13</f>
        <v>6.5275941560343753</v>
      </c>
      <c r="D43" s="78">
        <f>'1.15'!D13</f>
        <v>7.1833450000036487</v>
      </c>
      <c r="E43" s="23"/>
    </row>
    <row r="44" spans="1:9" x14ac:dyDescent="0.25">
      <c r="A44" s="4">
        <v>9</v>
      </c>
      <c r="B44" s="6" t="s">
        <v>153</v>
      </c>
      <c r="C44" s="123" t="s">
        <v>179</v>
      </c>
      <c r="D44" s="123" t="s">
        <v>179</v>
      </c>
      <c r="E44" s="23"/>
      <c r="F44"/>
      <c r="G44"/>
      <c r="H44"/>
      <c r="I44"/>
    </row>
    <row r="45" spans="1:9" ht="25.5" x14ac:dyDescent="0.25">
      <c r="A45" s="4">
        <v>10</v>
      </c>
      <c r="B45" s="6" t="s">
        <v>168</v>
      </c>
      <c r="C45" s="123" t="s">
        <v>179</v>
      </c>
      <c r="D45" s="123" t="s">
        <v>179</v>
      </c>
      <c r="E45" s="23"/>
      <c r="F45"/>
      <c r="G45"/>
      <c r="H45"/>
      <c r="I45"/>
    </row>
    <row r="46" spans="1:9" x14ac:dyDescent="0.25">
      <c r="A46" s="5">
        <v>11</v>
      </c>
      <c r="B46" s="22" t="s">
        <v>154</v>
      </c>
      <c r="C46" s="80">
        <f>C9+C11+C12+C22+C23+C34</f>
        <v>23865.13457767354</v>
      </c>
      <c r="D46" s="80">
        <f>D9+D11+D12+D22+D23+D34</f>
        <v>42709.016309237762</v>
      </c>
      <c r="E46" s="264"/>
      <c r="F46"/>
      <c r="G46"/>
      <c r="H46"/>
      <c r="I46"/>
    </row>
    <row r="47" spans="1:9" x14ac:dyDescent="0.25">
      <c r="A47" s="4"/>
      <c r="B47" s="6" t="s">
        <v>150</v>
      </c>
      <c r="C47" s="124"/>
      <c r="D47" s="124"/>
      <c r="E47" s="23"/>
      <c r="F47"/>
      <c r="G47"/>
      <c r="H47"/>
      <c r="I47"/>
    </row>
    <row r="48" spans="1:9" x14ac:dyDescent="0.25">
      <c r="A48" s="4"/>
      <c r="B48" s="7" t="s">
        <v>134</v>
      </c>
      <c r="C48" s="130">
        <f t="shared" ref="C48:D51" si="1">C14</f>
        <v>17.064981958775871</v>
      </c>
      <c r="D48" s="130">
        <f t="shared" si="1"/>
        <v>0</v>
      </c>
      <c r="E48" s="131" t="s">
        <v>375</v>
      </c>
      <c r="F48"/>
      <c r="G48"/>
      <c r="H48"/>
      <c r="I48"/>
    </row>
    <row r="49" spans="1:9" x14ac:dyDescent="0.25">
      <c r="A49" s="4"/>
      <c r="B49" s="7" t="s">
        <v>135</v>
      </c>
      <c r="C49" s="130">
        <f t="shared" si="1"/>
        <v>0</v>
      </c>
      <c r="D49" s="130">
        <f t="shared" si="1"/>
        <v>0</v>
      </c>
      <c r="E49" s="131" t="s">
        <v>375</v>
      </c>
      <c r="F49"/>
      <c r="G49"/>
      <c r="H49"/>
      <c r="I49"/>
    </row>
    <row r="50" spans="1:9" x14ac:dyDescent="0.25">
      <c r="A50" s="4"/>
      <c r="B50" s="7" t="s">
        <v>136</v>
      </c>
      <c r="C50" s="130">
        <f t="shared" si="1"/>
        <v>27.877062480447055</v>
      </c>
      <c r="D50" s="130">
        <f t="shared" si="1"/>
        <v>18.796437596302003</v>
      </c>
      <c r="E50" s="131" t="s">
        <v>375</v>
      </c>
      <c r="F50"/>
      <c r="G50"/>
      <c r="H50"/>
      <c r="I50"/>
    </row>
    <row r="51" spans="1:9" x14ac:dyDescent="0.25">
      <c r="A51" s="4"/>
      <c r="B51" s="7" t="s">
        <v>137</v>
      </c>
      <c r="C51" s="130">
        <f t="shared" si="1"/>
        <v>0.58635951511459417</v>
      </c>
      <c r="D51" s="130">
        <f t="shared" si="1"/>
        <v>0</v>
      </c>
      <c r="E51" s="131" t="s">
        <v>375</v>
      </c>
      <c r="F51"/>
      <c r="G51"/>
      <c r="H51"/>
      <c r="I51"/>
    </row>
    <row r="52" spans="1:9" x14ac:dyDescent="0.25">
      <c r="A52" s="4">
        <v>12</v>
      </c>
      <c r="B52" s="6" t="s">
        <v>155</v>
      </c>
      <c r="C52" s="81">
        <v>11.454931</v>
      </c>
      <c r="D52" s="81">
        <v>11.7</v>
      </c>
      <c r="E52" s="40"/>
      <c r="F52"/>
      <c r="G52"/>
      <c r="H52"/>
      <c r="I52"/>
    </row>
    <row r="53" spans="1:9" x14ac:dyDescent="0.25">
      <c r="A53" s="4">
        <v>13</v>
      </c>
      <c r="B53" s="6" t="s">
        <v>156</v>
      </c>
      <c r="C53" s="81">
        <f>C46*1000/(C52*1000)</f>
        <v>2083.3940054002542</v>
      </c>
      <c r="D53" s="81">
        <f t="shared" ref="D53" si="2">D46*1000/(D52*1000)</f>
        <v>3650.3432742938257</v>
      </c>
      <c r="E53" s="23"/>
      <c r="F53"/>
      <c r="G53"/>
      <c r="H53"/>
      <c r="I53"/>
    </row>
    <row r="54" spans="1:9" x14ac:dyDescent="0.25">
      <c r="A54" s="4">
        <v>14</v>
      </c>
      <c r="B54" s="6" t="s">
        <v>157</v>
      </c>
      <c r="C54" s="78">
        <f>C38+C35+C23+C22+C20+C13</f>
        <v>17331.963127655352</v>
      </c>
      <c r="D54" s="78">
        <f>D38+D35+D23+D22+D20+D13</f>
        <v>35344.490003302126</v>
      </c>
      <c r="E54" s="23"/>
      <c r="F54"/>
      <c r="G54"/>
      <c r="H54"/>
      <c r="I54"/>
    </row>
    <row r="55" spans="1:9" x14ac:dyDescent="0.25">
      <c r="A55" s="4" t="s">
        <v>192</v>
      </c>
      <c r="B55" s="6" t="s">
        <v>158</v>
      </c>
      <c r="C55" s="78">
        <f t="shared" ref="C55:D55" si="3">C23</f>
        <v>5293.6680743727293</v>
      </c>
      <c r="D55" s="78">
        <f t="shared" si="3"/>
        <v>5825.4608336168194</v>
      </c>
      <c r="E55" s="23"/>
      <c r="F55"/>
      <c r="G55"/>
      <c r="H55"/>
      <c r="I55"/>
    </row>
    <row r="56" spans="1:9" ht="89.25" x14ac:dyDescent="0.25">
      <c r="A56" s="4">
        <v>15</v>
      </c>
      <c r="B56" s="6" t="s">
        <v>51</v>
      </c>
      <c r="C56" s="56" t="s">
        <v>179</v>
      </c>
      <c r="D56" s="56" t="s">
        <v>179</v>
      </c>
      <c r="E56" s="23"/>
      <c r="F56"/>
      <c r="G56"/>
      <c r="H56"/>
      <c r="I56"/>
    </row>
    <row r="58" spans="1:9" x14ac:dyDescent="0.25">
      <c r="B58" s="19" t="s">
        <v>172</v>
      </c>
      <c r="C58" s="14"/>
      <c r="E58" s="16" t="s">
        <v>173</v>
      </c>
      <c r="F58"/>
    </row>
    <row r="59" spans="1:9" x14ac:dyDescent="0.25">
      <c r="B59" s="20" t="s">
        <v>174</v>
      </c>
      <c r="C59" s="12" t="s">
        <v>176</v>
      </c>
      <c r="E59" s="15" t="s">
        <v>175</v>
      </c>
      <c r="F59"/>
    </row>
    <row r="61" spans="1:9" x14ac:dyDescent="0.25">
      <c r="B61" s="11" t="s">
        <v>195</v>
      </c>
    </row>
    <row r="65" spans="4:7" x14ac:dyDescent="0.25">
      <c r="D65" s="30">
        <f>C46*1000</f>
        <v>23865134.57767354</v>
      </c>
      <c r="E65" s="30">
        <v>81441070.322009191</v>
      </c>
    </row>
    <row r="66" spans="4:7" x14ac:dyDescent="0.25">
      <c r="D66" s="30">
        <f>C52*1000</f>
        <v>11454.931</v>
      </c>
      <c r="E66" s="30">
        <v>47995000</v>
      </c>
    </row>
    <row r="67" spans="4:7" x14ac:dyDescent="0.25">
      <c r="D67" s="30">
        <f>D65/D66</f>
        <v>2083.3940054002542</v>
      </c>
      <c r="E67" s="30">
        <f>E65/E66</f>
        <v>1.6968657218878882</v>
      </c>
    </row>
    <row r="68" spans="4:7" x14ac:dyDescent="0.25">
      <c r="E68" s="26">
        <v>7172164.6186469989</v>
      </c>
      <c r="F68" s="26">
        <f>SUM(E68:E70)</f>
        <v>33964084.297646999</v>
      </c>
    </row>
    <row r="69" spans="4:7" x14ac:dyDescent="0.25">
      <c r="E69">
        <v>26661277.838999998</v>
      </c>
    </row>
    <row r="70" spans="4:7" x14ac:dyDescent="0.25">
      <c r="E70">
        <v>130641.84</v>
      </c>
      <c r="F70" s="11">
        <v>12125.277504908321</v>
      </c>
      <c r="G70" s="11">
        <f>F70/F68</f>
        <v>3.570029269344485E-4</v>
      </c>
    </row>
    <row r="71" spans="4:7" x14ac:dyDescent="0.25">
      <c r="E71">
        <v>8734165.8153539989</v>
      </c>
    </row>
    <row r="72" spans="4:7" x14ac:dyDescent="0.25">
      <c r="E72">
        <f>E71*G70</f>
        <v>3118.1227604121814</v>
      </c>
    </row>
  </sheetData>
  <mergeCells count="6">
    <mergeCell ref="A2:E2"/>
    <mergeCell ref="E5:E7"/>
    <mergeCell ref="A5:A7"/>
    <mergeCell ref="B5:B7"/>
    <mergeCell ref="C5:C6"/>
    <mergeCell ref="D5:D6"/>
  </mergeCells>
  <printOptions horizontalCentered="1"/>
  <pageMargins left="0.70866141732283472" right="0.31496062992125984" top="0.35433070866141736" bottom="0.15748031496062992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43"/>
  <sheetViews>
    <sheetView zoomScale="85" zoomScaleNormal="85" zoomScaleSheetLayoutView="85" workbookViewId="0">
      <selection activeCell="E33" sqref="E33"/>
    </sheetView>
  </sheetViews>
  <sheetFormatPr defaultRowHeight="15" x14ac:dyDescent="0.25"/>
  <cols>
    <col min="1" max="1" width="11.28515625" style="31" customWidth="1"/>
    <col min="2" max="2" width="39.7109375" style="65" customWidth="1"/>
    <col min="3" max="3" width="20.42578125" style="31" customWidth="1"/>
    <col min="4" max="4" width="24.140625" style="31" customWidth="1"/>
    <col min="5" max="5" width="25.5703125" style="31" customWidth="1"/>
    <col min="6" max="6" width="38.85546875" style="31" customWidth="1"/>
    <col min="7" max="7" width="19" style="31" customWidth="1"/>
    <col min="8" max="8" width="21.140625" style="31" customWidth="1"/>
    <col min="9" max="9" width="18.85546875" style="31" customWidth="1"/>
    <col min="10" max="10" width="15.42578125" style="31" customWidth="1"/>
    <col min="11" max="16384" width="9.140625" style="31"/>
  </cols>
  <sheetData>
    <row r="1" spans="1:5" ht="15.75" x14ac:dyDescent="0.25">
      <c r="A1" s="329" t="s">
        <v>413</v>
      </c>
      <c r="B1" s="329"/>
      <c r="C1" s="329"/>
      <c r="D1" s="329"/>
      <c r="E1" s="329"/>
    </row>
    <row r="2" spans="1:5" ht="16.5" thickBot="1" x14ac:dyDescent="0.3">
      <c r="A2" s="259"/>
      <c r="B2" s="259"/>
      <c r="C2" s="259"/>
      <c r="D2" s="259"/>
      <c r="E2" s="65"/>
    </row>
    <row r="3" spans="1:5" ht="47.25" x14ac:dyDescent="0.25">
      <c r="A3" s="213" t="s">
        <v>199</v>
      </c>
      <c r="B3" s="214" t="s">
        <v>200</v>
      </c>
      <c r="C3" s="214" t="s">
        <v>201</v>
      </c>
      <c r="D3" s="215" t="s">
        <v>202</v>
      </c>
      <c r="E3" s="216" t="s">
        <v>197</v>
      </c>
    </row>
    <row r="4" spans="1:5" ht="31.5" x14ac:dyDescent="0.25">
      <c r="A4" s="278">
        <v>1</v>
      </c>
      <c r="B4" s="279" t="s">
        <v>430</v>
      </c>
      <c r="C4" s="280">
        <f>94022.55</f>
        <v>94022.55</v>
      </c>
      <c r="D4" s="281">
        <v>43100</v>
      </c>
      <c r="E4" s="282">
        <f t="shared" ref="E4:E14" si="0">C4*$E$19/100</f>
        <v>11552.033594475</v>
      </c>
    </row>
    <row r="5" spans="1:5" ht="15.75" x14ac:dyDescent="0.25">
      <c r="A5" s="278">
        <v>2</v>
      </c>
      <c r="B5" s="279" t="s">
        <v>431</v>
      </c>
      <c r="C5" s="280">
        <v>8705.7900000000009</v>
      </c>
      <c r="D5" s="281">
        <v>43100</v>
      </c>
      <c r="E5" s="282">
        <f t="shared" si="0"/>
        <v>1069.6325354550002</v>
      </c>
    </row>
    <row r="6" spans="1:5" ht="31.5" x14ac:dyDescent="0.25">
      <c r="A6" s="278">
        <v>3</v>
      </c>
      <c r="B6" s="279" t="s">
        <v>432</v>
      </c>
      <c r="C6" s="280">
        <v>173716.27</v>
      </c>
      <c r="D6" s="281">
        <v>43159</v>
      </c>
      <c r="E6" s="282">
        <f t="shared" si="0"/>
        <v>21343.562655415</v>
      </c>
    </row>
    <row r="7" spans="1:5" ht="15.75" x14ac:dyDescent="0.25">
      <c r="A7" s="278">
        <v>4</v>
      </c>
      <c r="B7" s="279" t="s">
        <v>433</v>
      </c>
      <c r="C7" s="280">
        <v>18124.29</v>
      </c>
      <c r="D7" s="281">
        <v>43190</v>
      </c>
      <c r="E7" s="282">
        <f t="shared" si="0"/>
        <v>2226.8318287050001</v>
      </c>
    </row>
    <row r="8" spans="1:5" ht="31.5" x14ac:dyDescent="0.25">
      <c r="A8" s="278">
        <v>5</v>
      </c>
      <c r="B8" s="279" t="s">
        <v>434</v>
      </c>
      <c r="C8" s="280">
        <f>87229.53+25431.51+28955.28</f>
        <v>141616.32000000001</v>
      </c>
      <c r="D8" s="281">
        <v>43343</v>
      </c>
      <c r="E8" s="282">
        <f t="shared" si="0"/>
        <v>17399.61834864</v>
      </c>
    </row>
    <row r="9" spans="1:5" ht="31.5" x14ac:dyDescent="0.25">
      <c r="A9" s="278">
        <v>6</v>
      </c>
      <c r="B9" s="279" t="s">
        <v>435</v>
      </c>
      <c r="C9" s="280">
        <v>127958.49</v>
      </c>
      <c r="D9" s="281">
        <v>43220</v>
      </c>
      <c r="E9" s="282">
        <f t="shared" si="0"/>
        <v>15721.555894605001</v>
      </c>
    </row>
    <row r="10" spans="1:5" ht="31.5" x14ac:dyDescent="0.25">
      <c r="A10" s="278">
        <v>7</v>
      </c>
      <c r="B10" s="279" t="s">
        <v>436</v>
      </c>
      <c r="C10" s="280">
        <v>210302.24</v>
      </c>
      <c r="D10" s="281">
        <v>43220</v>
      </c>
      <c r="E10" s="282">
        <f t="shared" si="0"/>
        <v>25838.679566480001</v>
      </c>
    </row>
    <row r="11" spans="1:5" ht="31.5" x14ac:dyDescent="0.25">
      <c r="A11" s="278">
        <v>8</v>
      </c>
      <c r="B11" s="279" t="s">
        <v>437</v>
      </c>
      <c r="C11" s="280">
        <f>23876.82+24320.97+415930.61+41466.4</f>
        <v>505594.8</v>
      </c>
      <c r="D11" s="281">
        <v>43373</v>
      </c>
      <c r="E11" s="282">
        <f t="shared" si="0"/>
        <v>62119.6523046</v>
      </c>
    </row>
    <row r="12" spans="1:5" ht="31.5" x14ac:dyDescent="0.25">
      <c r="A12" s="278">
        <v>9</v>
      </c>
      <c r="B12" s="279" t="s">
        <v>438</v>
      </c>
      <c r="C12" s="280">
        <f>38694+47451.14+33781.66+13267.41</f>
        <v>133194.21</v>
      </c>
      <c r="D12" s="281">
        <v>43373</v>
      </c>
      <c r="E12" s="282">
        <f t="shared" si="0"/>
        <v>16364.840014545</v>
      </c>
    </row>
    <row r="13" spans="1:5" ht="15.75" x14ac:dyDescent="0.25">
      <c r="A13" s="278">
        <v>10</v>
      </c>
      <c r="B13" s="279" t="s">
        <v>439</v>
      </c>
      <c r="C13" s="280">
        <v>26158.13</v>
      </c>
      <c r="D13" s="281">
        <v>43343</v>
      </c>
      <c r="E13" s="282">
        <f t="shared" si="0"/>
        <v>3213.9055633849998</v>
      </c>
    </row>
    <row r="14" spans="1:5" ht="31.5" x14ac:dyDescent="0.25">
      <c r="A14" s="278">
        <v>11</v>
      </c>
      <c r="B14" s="279" t="s">
        <v>440</v>
      </c>
      <c r="C14" s="280">
        <v>91318.11</v>
      </c>
      <c r="D14" s="281">
        <v>43373</v>
      </c>
      <c r="E14" s="282">
        <f t="shared" si="0"/>
        <v>11219.753926095002</v>
      </c>
    </row>
    <row r="15" spans="1:5" ht="15.75" x14ac:dyDescent="0.25">
      <c r="A15" s="278">
        <v>12</v>
      </c>
      <c r="B15" s="279" t="s">
        <v>414</v>
      </c>
      <c r="C15" s="280">
        <v>6648465.7599999998</v>
      </c>
      <c r="D15" s="283">
        <v>0</v>
      </c>
      <c r="E15" s="282">
        <v>823439.18</v>
      </c>
    </row>
    <row r="16" spans="1:5" ht="15.75" x14ac:dyDescent="0.25">
      <c r="A16" s="284"/>
      <c r="B16" s="279"/>
      <c r="C16" s="280"/>
      <c r="D16" s="285"/>
      <c r="E16" s="282"/>
    </row>
    <row r="17" spans="1:10" ht="15.75" x14ac:dyDescent="0.25">
      <c r="A17" s="286"/>
      <c r="B17" s="287" t="s">
        <v>447</v>
      </c>
      <c r="C17" s="288">
        <f>SUM(C4:C14)+C15</f>
        <v>8179176.96</v>
      </c>
      <c r="D17" s="289"/>
      <c r="E17" s="290">
        <f>SUM(E4:E14)+E15</f>
        <v>1011509.2462324001</v>
      </c>
    </row>
    <row r="18" spans="1:10" ht="16.5" thickBot="1" x14ac:dyDescent="0.3">
      <c r="A18" s="217"/>
      <c r="B18" s="218"/>
      <c r="C18" s="219"/>
      <c r="D18" s="220"/>
      <c r="E18" s="221"/>
    </row>
    <row r="19" spans="1:10" ht="15.75" thickBot="1" x14ac:dyDescent="0.3">
      <c r="C19" s="338" t="s">
        <v>376</v>
      </c>
      <c r="D19" s="339"/>
      <c r="E19" s="212">
        <v>12.28645</v>
      </c>
    </row>
    <row r="21" spans="1:10" ht="19.5" x14ac:dyDescent="0.3">
      <c r="A21" s="334" t="s">
        <v>405</v>
      </c>
      <c r="B21" s="334"/>
      <c r="C21" s="334"/>
      <c r="D21" s="334"/>
      <c r="E21" s="334"/>
      <c r="F21" s="334"/>
      <c r="G21" s="334"/>
    </row>
    <row r="23" spans="1:10" ht="78.75" x14ac:dyDescent="0.25">
      <c r="A23" s="294" t="s">
        <v>203</v>
      </c>
      <c r="B23" s="294" t="s">
        <v>204</v>
      </c>
      <c r="C23" s="294" t="s">
        <v>205</v>
      </c>
      <c r="D23" s="295" t="s">
        <v>206</v>
      </c>
      <c r="E23" s="295" t="s">
        <v>214</v>
      </c>
      <c r="F23" s="294" t="s">
        <v>220</v>
      </c>
      <c r="G23" s="294" t="s">
        <v>209</v>
      </c>
      <c r="H23" s="294" t="s">
        <v>221</v>
      </c>
    </row>
    <row r="24" spans="1:10" ht="63" x14ac:dyDescent="0.25">
      <c r="A24" s="183" t="s">
        <v>207</v>
      </c>
      <c r="B24" s="183" t="s">
        <v>208</v>
      </c>
      <c r="C24" s="296" t="s">
        <v>211</v>
      </c>
      <c r="D24" s="297" t="s">
        <v>379</v>
      </c>
      <c r="E24" s="298">
        <v>40</v>
      </c>
      <c r="F24" s="298">
        <f>E33</f>
        <v>1356.60924</v>
      </c>
      <c r="G24" s="298">
        <f>E24*F24</f>
        <v>54264.369599999998</v>
      </c>
      <c r="H24" s="298">
        <f>G24*$H$28/100</f>
        <v>6521.7578255778117</v>
      </c>
    </row>
    <row r="25" spans="1:10" ht="47.25" x14ac:dyDescent="0.25">
      <c r="A25" s="183" t="s">
        <v>207</v>
      </c>
      <c r="B25" s="183" t="s">
        <v>210</v>
      </c>
      <c r="C25" s="299" t="s">
        <v>212</v>
      </c>
      <c r="D25" s="297" t="s">
        <v>380</v>
      </c>
      <c r="E25" s="298">
        <v>50</v>
      </c>
      <c r="F25" s="298">
        <f>E34</f>
        <v>1129.0892199999998</v>
      </c>
      <c r="G25" s="298">
        <f t="shared" ref="G25:G26" si="1">E25*F25</f>
        <v>56454.460999999996</v>
      </c>
      <c r="H25" s="298">
        <f>G25*$H$28/100</f>
        <v>6784.9737411402157</v>
      </c>
    </row>
    <row r="26" spans="1:10" ht="110.25" x14ac:dyDescent="0.25">
      <c r="A26" s="183" t="s">
        <v>207</v>
      </c>
      <c r="B26" s="300" t="s">
        <v>382</v>
      </c>
      <c r="C26" s="296" t="s">
        <v>213</v>
      </c>
      <c r="D26" s="297" t="s">
        <v>381</v>
      </c>
      <c r="E26" s="298">
        <v>1100</v>
      </c>
      <c r="F26" s="298">
        <f>E35</f>
        <v>923.42004999999995</v>
      </c>
      <c r="G26" s="298">
        <f t="shared" si="1"/>
        <v>1015762.0549999999</v>
      </c>
      <c r="H26" s="298">
        <f>G26*$H$28/100</f>
        <v>122079.26084745763</v>
      </c>
    </row>
    <row r="27" spans="1:10" x14ac:dyDescent="0.25">
      <c r="A27" s="335" t="s">
        <v>198</v>
      </c>
      <c r="B27" s="335"/>
      <c r="C27" s="335"/>
      <c r="D27" s="335"/>
      <c r="E27" s="301">
        <f>SUM(E24:E26)</f>
        <v>1190</v>
      </c>
      <c r="F27" s="301"/>
      <c r="G27" s="302">
        <f>SUM(G24:G26)</f>
        <v>1126480.8855999999</v>
      </c>
      <c r="H27" s="302">
        <f>SUM(H24:H26)</f>
        <v>135385.99241417565</v>
      </c>
      <c r="J27" s="169"/>
    </row>
    <row r="28" spans="1:10" x14ac:dyDescent="0.25">
      <c r="F28" s="336" t="s">
        <v>222</v>
      </c>
      <c r="G28" s="337"/>
      <c r="H28" s="303">
        <f>H34</f>
        <v>12.01848998459168</v>
      </c>
    </row>
    <row r="29" spans="1:10" ht="15.75" thickBot="1" x14ac:dyDescent="0.3">
      <c r="G29" s="71"/>
    </row>
    <row r="30" spans="1:10" ht="20.25" thickBot="1" x14ac:dyDescent="0.35">
      <c r="B30" s="340" t="s">
        <v>404</v>
      </c>
      <c r="C30" s="340"/>
      <c r="D30" s="340"/>
      <c r="E30" s="340"/>
      <c r="F30" s="342" t="s">
        <v>300</v>
      </c>
      <c r="G30" s="343"/>
      <c r="H30" s="344"/>
    </row>
    <row r="31" spans="1:10" ht="56.25" x14ac:dyDescent="0.25">
      <c r="B31" s="330" t="s">
        <v>205</v>
      </c>
      <c r="C31" s="332" t="s">
        <v>78</v>
      </c>
      <c r="D31" s="27" t="s">
        <v>441</v>
      </c>
      <c r="E31" s="27" t="s">
        <v>406</v>
      </c>
      <c r="F31" s="345"/>
      <c r="G31" s="345" t="s">
        <v>402</v>
      </c>
      <c r="H31" s="345" t="s">
        <v>377</v>
      </c>
    </row>
    <row r="32" spans="1:10" ht="19.5" thickBot="1" x14ac:dyDescent="0.3">
      <c r="B32" s="331"/>
      <c r="C32" s="333"/>
      <c r="D32" s="135" t="s">
        <v>215</v>
      </c>
      <c r="E32" s="135" t="s">
        <v>215</v>
      </c>
      <c r="F32" s="346"/>
      <c r="G32" s="346"/>
      <c r="H32" s="346"/>
    </row>
    <row r="33" spans="2:8" ht="56.25" x14ac:dyDescent="0.25">
      <c r="B33" s="72" t="s">
        <v>216</v>
      </c>
      <c r="C33" s="132" t="s">
        <v>217</v>
      </c>
      <c r="D33" s="304">
        <v>1300.68</v>
      </c>
      <c r="E33" s="304">
        <f>D33*1.043</f>
        <v>1356.60924</v>
      </c>
      <c r="F33" s="305" t="s">
        <v>301</v>
      </c>
      <c r="G33" s="306">
        <f>'1.15'!D61</f>
        <v>85650</v>
      </c>
      <c r="H33" s="307">
        <f>H35-H34</f>
        <v>87.981510015408318</v>
      </c>
    </row>
    <row r="34" spans="2:8" ht="56.25" x14ac:dyDescent="0.25">
      <c r="B34" s="73" t="s">
        <v>218</v>
      </c>
      <c r="C34" s="133" t="s">
        <v>217</v>
      </c>
      <c r="D34" s="308">
        <v>1082.54</v>
      </c>
      <c r="E34" s="308">
        <f t="shared" ref="E34:E35" si="2">D34*1.043</f>
        <v>1129.0892199999998</v>
      </c>
      <c r="F34" s="309" t="s">
        <v>302</v>
      </c>
      <c r="G34" s="310">
        <f>'1.15'!D62</f>
        <v>11700</v>
      </c>
      <c r="H34" s="311">
        <f>H35/G35*G34</f>
        <v>12.01848998459168</v>
      </c>
    </row>
    <row r="35" spans="2:8" ht="20.25" thickBot="1" x14ac:dyDescent="0.3">
      <c r="B35" s="74" t="s">
        <v>219</v>
      </c>
      <c r="C35" s="134" t="s">
        <v>217</v>
      </c>
      <c r="D35" s="312">
        <v>885.35</v>
      </c>
      <c r="E35" s="312">
        <f t="shared" si="2"/>
        <v>923.42004999999995</v>
      </c>
      <c r="F35" s="313" t="s">
        <v>303</v>
      </c>
      <c r="G35" s="314">
        <f>'1.15'!D63</f>
        <v>97350</v>
      </c>
      <c r="H35" s="315">
        <v>100</v>
      </c>
    </row>
    <row r="36" spans="2:8" ht="18.75" x14ac:dyDescent="0.25">
      <c r="B36" s="35"/>
      <c r="C36" s="36"/>
      <c r="D36" s="37"/>
      <c r="E36" s="37"/>
    </row>
    <row r="37" spans="2:8" ht="15.75" x14ac:dyDescent="0.25">
      <c r="B37" s="341" t="s">
        <v>442</v>
      </c>
      <c r="C37" s="341"/>
      <c r="D37" s="341"/>
      <c r="E37" s="341"/>
      <c r="F37" s="341"/>
      <c r="G37" s="341"/>
      <c r="H37" s="341"/>
    </row>
    <row r="39" spans="2:8" ht="18.75" x14ac:dyDescent="0.3">
      <c r="B39" s="66" t="s">
        <v>223</v>
      </c>
      <c r="C39" s="67"/>
      <c r="D39" s="68"/>
      <c r="E39" s="67"/>
      <c r="F39" s="67" t="s">
        <v>224</v>
      </c>
    </row>
    <row r="40" spans="2:8" ht="18.75" x14ac:dyDescent="0.3">
      <c r="B40" s="69"/>
      <c r="C40" s="67"/>
      <c r="D40" s="70" t="s">
        <v>176</v>
      </c>
      <c r="E40" s="67"/>
    </row>
    <row r="42" spans="2:8" x14ac:dyDescent="0.25">
      <c r="B42" s="65" t="s">
        <v>225</v>
      </c>
    </row>
    <row r="43" spans="2:8" x14ac:dyDescent="0.25">
      <c r="B43" s="65" t="s">
        <v>226</v>
      </c>
    </row>
  </sheetData>
  <mergeCells count="13">
    <mergeCell ref="B37:H37"/>
    <mergeCell ref="F30:H30"/>
    <mergeCell ref="F31:F32"/>
    <mergeCell ref="G31:G32"/>
    <mergeCell ref="H31:H32"/>
    <mergeCell ref="A1:E1"/>
    <mergeCell ref="B31:B32"/>
    <mergeCell ref="C31:C32"/>
    <mergeCell ref="A21:G21"/>
    <mergeCell ref="A27:D27"/>
    <mergeCell ref="F28:G28"/>
    <mergeCell ref="C19:D19"/>
    <mergeCell ref="B30:E30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48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K78"/>
  <sheetViews>
    <sheetView view="pageBreakPreview" topLeftCell="D1" zoomScale="85" zoomScaleNormal="85" zoomScaleSheetLayoutView="85" workbookViewId="0">
      <selection activeCell="K32" sqref="K32"/>
    </sheetView>
  </sheetViews>
  <sheetFormatPr defaultRowHeight="15" outlineLevelCol="1" x14ac:dyDescent="0.25"/>
  <cols>
    <col min="1" max="1" width="7.85546875" style="11" customWidth="1"/>
    <col min="2" max="2" width="14" style="11" customWidth="1"/>
    <col min="3" max="3" width="54.140625" style="11" customWidth="1"/>
    <col min="4" max="4" width="13.5703125" style="11" customWidth="1"/>
    <col min="5" max="5" width="14.42578125" style="11" customWidth="1"/>
    <col min="6" max="6" width="6.7109375" style="11" customWidth="1"/>
    <col min="7" max="8" width="14.42578125" style="11" customWidth="1"/>
    <col min="9" max="9" width="15.42578125" style="11" customWidth="1" outlineLevel="1"/>
    <col min="10" max="10" width="16.42578125" style="11" customWidth="1" outlineLevel="1"/>
    <col min="11" max="11" width="14.85546875" style="11" customWidth="1" outlineLevel="1"/>
    <col min="12" max="12" width="13" style="11" customWidth="1" outlineLevel="1"/>
    <col min="13" max="13" width="13.85546875" style="11" customWidth="1" outlineLevel="1"/>
    <col min="14" max="14" width="14" style="11" customWidth="1" outlineLevel="1"/>
    <col min="15" max="16" width="11.7109375" style="11" customWidth="1" outlineLevel="1"/>
    <col min="17" max="17" width="12.7109375" style="11" customWidth="1"/>
    <col min="18" max="18" width="18.7109375" style="11" customWidth="1"/>
    <col min="19" max="19" width="41.85546875" style="11" customWidth="1"/>
    <col min="20" max="20" width="21.85546875" style="11" customWidth="1"/>
    <col min="21" max="21" width="12.7109375" style="11" customWidth="1"/>
    <col min="22" max="16384" width="9.140625" style="11"/>
  </cols>
  <sheetData>
    <row r="1" spans="1:21" ht="18.75" x14ac:dyDescent="0.25">
      <c r="A1" s="31"/>
      <c r="B1" s="348" t="s">
        <v>407</v>
      </c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112"/>
    </row>
    <row r="2" spans="1:21" ht="45" x14ac:dyDescent="0.25">
      <c r="A2" s="31"/>
      <c r="B2" s="125"/>
      <c r="C2" s="31"/>
      <c r="D2" s="31"/>
      <c r="E2" s="31"/>
      <c r="F2" s="31"/>
      <c r="G2" s="31"/>
      <c r="H2" s="31"/>
      <c r="I2" s="170" t="s">
        <v>388</v>
      </c>
      <c r="J2" s="170" t="s">
        <v>389</v>
      </c>
      <c r="K2" s="151"/>
      <c r="L2" s="151"/>
      <c r="M2" s="31"/>
      <c r="N2" s="31"/>
      <c r="O2" s="31"/>
    </row>
    <row r="3" spans="1:21" ht="76.5" x14ac:dyDescent="0.25">
      <c r="A3" s="201" t="s">
        <v>366</v>
      </c>
      <c r="B3" s="41" t="s">
        <v>229</v>
      </c>
      <c r="C3" s="41" t="s">
        <v>230</v>
      </c>
      <c r="D3" s="171" t="s">
        <v>231</v>
      </c>
      <c r="E3" s="41" t="s">
        <v>232</v>
      </c>
      <c r="F3" s="222" t="s">
        <v>387</v>
      </c>
      <c r="G3" s="41" t="s">
        <v>390</v>
      </c>
      <c r="H3" s="41" t="s">
        <v>391</v>
      </c>
      <c r="I3" s="41" t="s">
        <v>394</v>
      </c>
      <c r="J3" s="41" t="s">
        <v>395</v>
      </c>
      <c r="K3" s="222" t="s">
        <v>444</v>
      </c>
      <c r="L3" s="41" t="s">
        <v>396</v>
      </c>
      <c r="M3" s="41" t="s">
        <v>397</v>
      </c>
      <c r="N3" s="41" t="s">
        <v>445</v>
      </c>
      <c r="O3" s="41" t="s">
        <v>284</v>
      </c>
      <c r="P3" s="113"/>
    </row>
    <row r="4" spans="1:21" x14ac:dyDescent="0.25">
      <c r="A4" s="31"/>
      <c r="B4" s="41">
        <v>1</v>
      </c>
      <c r="C4" s="41">
        <v>2</v>
      </c>
      <c r="D4" s="41">
        <v>3</v>
      </c>
      <c r="E4" s="41">
        <v>4</v>
      </c>
      <c r="F4" s="41">
        <v>5</v>
      </c>
      <c r="G4" s="41">
        <v>6</v>
      </c>
      <c r="H4" s="41"/>
      <c r="I4" s="41">
        <v>7</v>
      </c>
      <c r="J4" s="41">
        <v>8</v>
      </c>
      <c r="K4" s="222">
        <v>9</v>
      </c>
      <c r="L4" s="41">
        <v>10</v>
      </c>
      <c r="M4" s="41">
        <v>11</v>
      </c>
      <c r="N4" s="41">
        <v>12</v>
      </c>
      <c r="O4" s="41"/>
      <c r="P4" s="113"/>
      <c r="R4" s="11" t="s">
        <v>288</v>
      </c>
    </row>
    <row r="5" spans="1:21" ht="31.5" x14ac:dyDescent="0.25">
      <c r="A5" s="119" t="s">
        <v>370</v>
      </c>
      <c r="B5" s="172" t="s">
        <v>244</v>
      </c>
      <c r="C5" s="173" t="s">
        <v>245</v>
      </c>
      <c r="D5" s="174">
        <f>1721268</f>
        <v>1721268</v>
      </c>
      <c r="E5" s="175" t="s">
        <v>246</v>
      </c>
      <c r="F5" s="176">
        <v>706</v>
      </c>
      <c r="G5" s="223">
        <f>H5/12</f>
        <v>30</v>
      </c>
      <c r="H5" s="224">
        <v>360</v>
      </c>
      <c r="I5" s="178">
        <f>D5</f>
        <v>1721268</v>
      </c>
      <c r="J5" s="179">
        <v>0</v>
      </c>
      <c r="K5" s="225">
        <v>0</v>
      </c>
      <c r="L5" s="180">
        <v>12</v>
      </c>
      <c r="M5" s="180">
        <v>0</v>
      </c>
      <c r="N5" s="178">
        <f>K5*L5</f>
        <v>0</v>
      </c>
      <c r="O5" s="178">
        <f>J5-N5</f>
        <v>0</v>
      </c>
      <c r="P5" s="114"/>
      <c r="R5" s="50" t="s">
        <v>287</v>
      </c>
      <c r="S5" s="51" t="s">
        <v>285</v>
      </c>
      <c r="T5" s="52" t="s">
        <v>286</v>
      </c>
      <c r="U5" s="48"/>
    </row>
    <row r="6" spans="1:21" ht="31.5" x14ac:dyDescent="0.25">
      <c r="A6" s="119" t="s">
        <v>369</v>
      </c>
      <c r="B6" s="172" t="s">
        <v>362</v>
      </c>
      <c r="C6" s="181" t="s">
        <v>358</v>
      </c>
      <c r="D6" s="179">
        <v>2956241</v>
      </c>
      <c r="E6" s="175" t="s">
        <v>365</v>
      </c>
      <c r="F6" s="175">
        <v>1000</v>
      </c>
      <c r="G6" s="223">
        <f>H6/12</f>
        <v>30</v>
      </c>
      <c r="H6" s="224">
        <v>360</v>
      </c>
      <c r="I6" s="178">
        <f t="shared" ref="I6:I34" si="0">D6</f>
        <v>2956241</v>
      </c>
      <c r="J6" s="179">
        <v>0</v>
      </c>
      <c r="K6" s="225">
        <v>0</v>
      </c>
      <c r="L6" s="180">
        <v>12</v>
      </c>
      <c r="M6" s="180">
        <v>0</v>
      </c>
      <c r="N6" s="182">
        <f t="shared" ref="N6:N21" si="1">K6*L6</f>
        <v>0</v>
      </c>
      <c r="O6" s="182">
        <f t="shared" ref="O6:O43" si="2">J6-N6</f>
        <v>0</v>
      </c>
      <c r="P6" s="115"/>
      <c r="R6" s="50" t="s">
        <v>287</v>
      </c>
      <c r="S6" s="51" t="s">
        <v>285</v>
      </c>
      <c r="T6" s="52" t="s">
        <v>286</v>
      </c>
    </row>
    <row r="7" spans="1:21" ht="31.5" x14ac:dyDescent="0.25">
      <c r="A7" s="119" t="s">
        <v>371</v>
      </c>
      <c r="B7" s="172" t="s">
        <v>323</v>
      </c>
      <c r="C7" s="181" t="s">
        <v>306</v>
      </c>
      <c r="D7" s="179">
        <v>17484</v>
      </c>
      <c r="E7" s="175" t="s">
        <v>342</v>
      </c>
      <c r="F7" s="183">
        <v>600</v>
      </c>
      <c r="G7" s="223">
        <f t="shared" ref="G7:G22" si="3">H7/12</f>
        <v>30</v>
      </c>
      <c r="H7" s="226">
        <v>360</v>
      </c>
      <c r="I7" s="178">
        <f t="shared" si="0"/>
        <v>17484</v>
      </c>
      <c r="J7" s="179">
        <v>0</v>
      </c>
      <c r="K7" s="225">
        <v>0</v>
      </c>
      <c r="L7" s="180">
        <v>12</v>
      </c>
      <c r="M7" s="180">
        <v>0</v>
      </c>
      <c r="N7" s="182">
        <f t="shared" si="1"/>
        <v>0</v>
      </c>
      <c r="O7" s="182">
        <f t="shared" si="2"/>
        <v>0</v>
      </c>
      <c r="P7" s="115"/>
      <c r="R7" s="50" t="s">
        <v>287</v>
      </c>
      <c r="S7" s="51" t="s">
        <v>285</v>
      </c>
      <c r="T7" s="52" t="s">
        <v>286</v>
      </c>
    </row>
    <row r="8" spans="1:21" ht="31.5" x14ac:dyDescent="0.25">
      <c r="A8" s="119" t="s">
        <v>371</v>
      </c>
      <c r="B8" s="172" t="s">
        <v>324</v>
      </c>
      <c r="C8" s="181" t="s">
        <v>307</v>
      </c>
      <c r="D8" s="179">
        <v>46007</v>
      </c>
      <c r="E8" s="175" t="s">
        <v>342</v>
      </c>
      <c r="F8" s="183">
        <v>600</v>
      </c>
      <c r="G8" s="223">
        <f t="shared" si="3"/>
        <v>30</v>
      </c>
      <c r="H8" s="226">
        <v>360</v>
      </c>
      <c r="I8" s="178">
        <f t="shared" si="0"/>
        <v>46007</v>
      </c>
      <c r="J8" s="179">
        <v>0</v>
      </c>
      <c r="K8" s="225">
        <v>0</v>
      </c>
      <c r="L8" s="180">
        <v>12</v>
      </c>
      <c r="M8" s="180">
        <v>0</v>
      </c>
      <c r="N8" s="182">
        <f t="shared" si="1"/>
        <v>0</v>
      </c>
      <c r="O8" s="182">
        <f t="shared" si="2"/>
        <v>0</v>
      </c>
      <c r="P8" s="115"/>
      <c r="R8" s="50" t="s">
        <v>287</v>
      </c>
      <c r="S8" s="51" t="s">
        <v>285</v>
      </c>
      <c r="T8" s="52" t="s">
        <v>286</v>
      </c>
    </row>
    <row r="9" spans="1:21" ht="15.75" customHeight="1" x14ac:dyDescent="0.25">
      <c r="A9" s="119" t="s">
        <v>369</v>
      </c>
      <c r="B9" s="172" t="s">
        <v>325</v>
      </c>
      <c r="C9" s="181" t="s">
        <v>308</v>
      </c>
      <c r="D9" s="179">
        <v>31241</v>
      </c>
      <c r="E9" s="175" t="s">
        <v>343</v>
      </c>
      <c r="F9" s="183">
        <v>600</v>
      </c>
      <c r="G9" s="223">
        <f t="shared" si="3"/>
        <v>30</v>
      </c>
      <c r="H9" s="226">
        <v>360</v>
      </c>
      <c r="I9" s="178">
        <f t="shared" si="0"/>
        <v>31241</v>
      </c>
      <c r="J9" s="179">
        <v>0</v>
      </c>
      <c r="K9" s="225">
        <v>0</v>
      </c>
      <c r="L9" s="180">
        <v>12</v>
      </c>
      <c r="M9" s="180">
        <v>0</v>
      </c>
      <c r="N9" s="182">
        <f t="shared" si="1"/>
        <v>0</v>
      </c>
      <c r="O9" s="182">
        <f t="shared" si="2"/>
        <v>0</v>
      </c>
      <c r="P9" s="115"/>
      <c r="R9" s="50" t="s">
        <v>287</v>
      </c>
      <c r="S9" s="51" t="s">
        <v>285</v>
      </c>
      <c r="T9" s="52" t="s">
        <v>286</v>
      </c>
    </row>
    <row r="10" spans="1:21" ht="31.5" x14ac:dyDescent="0.25">
      <c r="A10" s="119" t="s">
        <v>369</v>
      </c>
      <c r="B10" s="172" t="s">
        <v>326</v>
      </c>
      <c r="C10" s="181" t="s">
        <v>309</v>
      </c>
      <c r="D10" s="179">
        <v>33774</v>
      </c>
      <c r="E10" s="184" t="s">
        <v>344</v>
      </c>
      <c r="F10" s="185">
        <v>600</v>
      </c>
      <c r="G10" s="223">
        <f t="shared" si="3"/>
        <v>30</v>
      </c>
      <c r="H10" s="227">
        <v>360</v>
      </c>
      <c r="I10" s="178">
        <f t="shared" si="0"/>
        <v>33774</v>
      </c>
      <c r="J10" s="179">
        <v>0</v>
      </c>
      <c r="K10" s="225">
        <v>0</v>
      </c>
      <c r="L10" s="180">
        <v>12</v>
      </c>
      <c r="M10" s="180">
        <v>0</v>
      </c>
      <c r="N10" s="182">
        <f t="shared" si="1"/>
        <v>0</v>
      </c>
      <c r="O10" s="182">
        <f t="shared" si="2"/>
        <v>0</v>
      </c>
      <c r="P10" s="115"/>
      <c r="R10" s="50">
        <v>143120162</v>
      </c>
      <c r="S10" s="108" t="s">
        <v>368</v>
      </c>
    </row>
    <row r="11" spans="1:21" ht="15.75" x14ac:dyDescent="0.25">
      <c r="A11" s="119" t="s">
        <v>369</v>
      </c>
      <c r="B11" s="172" t="s">
        <v>327</v>
      </c>
      <c r="C11" s="181" t="s">
        <v>310</v>
      </c>
      <c r="D11" s="179">
        <v>43319</v>
      </c>
      <c r="E11" s="175" t="s">
        <v>345</v>
      </c>
      <c r="F11" s="183">
        <v>600</v>
      </c>
      <c r="G11" s="223">
        <f t="shared" si="3"/>
        <v>30</v>
      </c>
      <c r="H11" s="226">
        <v>360</v>
      </c>
      <c r="I11" s="178">
        <f t="shared" si="0"/>
        <v>43319</v>
      </c>
      <c r="J11" s="179">
        <v>0</v>
      </c>
      <c r="K11" s="225">
        <v>0</v>
      </c>
      <c r="L11" s="180">
        <v>12</v>
      </c>
      <c r="M11" s="180">
        <v>0</v>
      </c>
      <c r="N11" s="182">
        <f t="shared" si="1"/>
        <v>0</v>
      </c>
      <c r="O11" s="182">
        <f t="shared" si="2"/>
        <v>0</v>
      </c>
      <c r="P11" s="115"/>
    </row>
    <row r="12" spans="1:21" s="29" customFormat="1" ht="31.5" x14ac:dyDescent="0.25">
      <c r="A12" s="119" t="s">
        <v>369</v>
      </c>
      <c r="B12" s="183" t="s">
        <v>328</v>
      </c>
      <c r="C12" s="186" t="s">
        <v>311</v>
      </c>
      <c r="D12" s="187">
        <v>23016</v>
      </c>
      <c r="E12" s="175" t="s">
        <v>346</v>
      </c>
      <c r="F12" s="183">
        <v>600</v>
      </c>
      <c r="G12" s="223">
        <f t="shared" si="3"/>
        <v>30</v>
      </c>
      <c r="H12" s="226">
        <v>360</v>
      </c>
      <c r="I12" s="178">
        <f t="shared" si="0"/>
        <v>23016</v>
      </c>
      <c r="J12" s="179">
        <v>0</v>
      </c>
      <c r="K12" s="225">
        <v>0</v>
      </c>
      <c r="L12" s="228">
        <v>8.1282051282051277</v>
      </c>
      <c r="M12" s="180">
        <v>0</v>
      </c>
      <c r="N12" s="188">
        <f t="shared" si="1"/>
        <v>0</v>
      </c>
      <c r="O12" s="188">
        <f t="shared" si="2"/>
        <v>0</v>
      </c>
      <c r="P12" s="116"/>
    </row>
    <row r="13" spans="1:21" ht="15.75" x14ac:dyDescent="0.25">
      <c r="A13" s="119" t="s">
        <v>369</v>
      </c>
      <c r="B13" s="172" t="s">
        <v>329</v>
      </c>
      <c r="C13" s="181" t="s">
        <v>312</v>
      </c>
      <c r="D13" s="179">
        <v>24112</v>
      </c>
      <c r="E13" s="175" t="s">
        <v>345</v>
      </c>
      <c r="F13" s="183">
        <v>600</v>
      </c>
      <c r="G13" s="223">
        <f t="shared" si="3"/>
        <v>30</v>
      </c>
      <c r="H13" s="226">
        <v>360</v>
      </c>
      <c r="I13" s="178">
        <f t="shared" si="0"/>
        <v>24112</v>
      </c>
      <c r="J13" s="179">
        <v>0</v>
      </c>
      <c r="K13" s="225">
        <v>0</v>
      </c>
      <c r="L13" s="180">
        <v>12</v>
      </c>
      <c r="M13" s="180">
        <v>0</v>
      </c>
      <c r="N13" s="182">
        <f t="shared" si="1"/>
        <v>0</v>
      </c>
      <c r="O13" s="182">
        <f t="shared" si="2"/>
        <v>0</v>
      </c>
      <c r="P13" s="115"/>
    </row>
    <row r="14" spans="1:21" ht="31.5" x14ac:dyDescent="0.25">
      <c r="A14" s="119" t="s">
        <v>369</v>
      </c>
      <c r="B14" s="172" t="s">
        <v>331</v>
      </c>
      <c r="C14" s="181" t="s">
        <v>313</v>
      </c>
      <c r="D14" s="179">
        <v>792585</v>
      </c>
      <c r="E14" s="175" t="s">
        <v>347</v>
      </c>
      <c r="F14" s="183">
        <v>600</v>
      </c>
      <c r="G14" s="223">
        <f t="shared" si="3"/>
        <v>30</v>
      </c>
      <c r="H14" s="226">
        <v>360</v>
      </c>
      <c r="I14" s="178">
        <f t="shared" si="0"/>
        <v>792585</v>
      </c>
      <c r="J14" s="179">
        <v>0</v>
      </c>
      <c r="K14" s="225">
        <v>0</v>
      </c>
      <c r="L14" s="180">
        <v>12</v>
      </c>
      <c r="M14" s="180">
        <v>0</v>
      </c>
      <c r="N14" s="182">
        <f t="shared" si="1"/>
        <v>0</v>
      </c>
      <c r="O14" s="182">
        <f t="shared" si="2"/>
        <v>0</v>
      </c>
      <c r="P14" s="115"/>
    </row>
    <row r="15" spans="1:21" ht="31.5" x14ac:dyDescent="0.25">
      <c r="A15" s="119" t="s">
        <v>371</v>
      </c>
      <c r="B15" s="172" t="s">
        <v>332</v>
      </c>
      <c r="C15" s="181" t="s">
        <v>314</v>
      </c>
      <c r="D15" s="179">
        <v>68462</v>
      </c>
      <c r="E15" s="175" t="s">
        <v>348</v>
      </c>
      <c r="F15" s="183">
        <v>600</v>
      </c>
      <c r="G15" s="223">
        <f t="shared" si="3"/>
        <v>30</v>
      </c>
      <c r="H15" s="226">
        <v>360</v>
      </c>
      <c r="I15" s="178">
        <f t="shared" si="0"/>
        <v>68462</v>
      </c>
      <c r="J15" s="179">
        <v>0</v>
      </c>
      <c r="K15" s="225">
        <v>0</v>
      </c>
      <c r="L15" s="180">
        <v>12</v>
      </c>
      <c r="M15" s="180">
        <v>0</v>
      </c>
      <c r="N15" s="182">
        <f t="shared" si="1"/>
        <v>0</v>
      </c>
      <c r="O15" s="182">
        <f t="shared" si="2"/>
        <v>0</v>
      </c>
      <c r="P15" s="115"/>
    </row>
    <row r="16" spans="1:21" ht="15.75" x14ac:dyDescent="0.25">
      <c r="A16" s="119" t="s">
        <v>369</v>
      </c>
      <c r="B16" s="172" t="s">
        <v>333</v>
      </c>
      <c r="C16" s="181" t="s">
        <v>315</v>
      </c>
      <c r="D16" s="179">
        <v>144192</v>
      </c>
      <c r="E16" s="175" t="s">
        <v>349</v>
      </c>
      <c r="F16" s="183">
        <v>600</v>
      </c>
      <c r="G16" s="223">
        <f t="shared" si="3"/>
        <v>30</v>
      </c>
      <c r="H16" s="226">
        <v>360</v>
      </c>
      <c r="I16" s="178">
        <f t="shared" si="0"/>
        <v>144192</v>
      </c>
      <c r="J16" s="179">
        <v>0</v>
      </c>
      <c r="K16" s="225">
        <v>0</v>
      </c>
      <c r="L16" s="180">
        <v>12</v>
      </c>
      <c r="M16" s="180">
        <v>0</v>
      </c>
      <c r="N16" s="182">
        <f t="shared" si="1"/>
        <v>0</v>
      </c>
      <c r="O16" s="182">
        <f t="shared" si="2"/>
        <v>0</v>
      </c>
      <c r="P16" s="115"/>
    </row>
    <row r="17" spans="1:21" ht="15.75" x14ac:dyDescent="0.25">
      <c r="A17" s="119" t="s">
        <v>369</v>
      </c>
      <c r="B17" s="172" t="s">
        <v>334</v>
      </c>
      <c r="C17" s="181" t="s">
        <v>316</v>
      </c>
      <c r="D17" s="179">
        <v>25287</v>
      </c>
      <c r="E17" s="175" t="s">
        <v>350</v>
      </c>
      <c r="F17" s="183">
        <v>600</v>
      </c>
      <c r="G17" s="223">
        <f t="shared" si="3"/>
        <v>30</v>
      </c>
      <c r="H17" s="226">
        <v>360</v>
      </c>
      <c r="I17" s="178">
        <f t="shared" si="0"/>
        <v>25287</v>
      </c>
      <c r="J17" s="179">
        <v>0</v>
      </c>
      <c r="K17" s="225">
        <v>0</v>
      </c>
      <c r="L17" s="180">
        <v>12</v>
      </c>
      <c r="M17" s="180">
        <v>0</v>
      </c>
      <c r="N17" s="182">
        <f t="shared" si="1"/>
        <v>0</v>
      </c>
      <c r="O17" s="182">
        <f t="shared" si="2"/>
        <v>0</v>
      </c>
      <c r="P17" s="115"/>
    </row>
    <row r="18" spans="1:21" ht="15.75" x14ac:dyDescent="0.25">
      <c r="A18" s="119" t="s">
        <v>369</v>
      </c>
      <c r="B18" s="172" t="s">
        <v>335</v>
      </c>
      <c r="C18" s="181" t="s">
        <v>317</v>
      </c>
      <c r="D18" s="179">
        <v>106338</v>
      </c>
      <c r="E18" s="175" t="s">
        <v>351</v>
      </c>
      <c r="F18" s="183">
        <v>600</v>
      </c>
      <c r="G18" s="223">
        <f t="shared" si="3"/>
        <v>30</v>
      </c>
      <c r="H18" s="226">
        <v>360</v>
      </c>
      <c r="I18" s="178">
        <f t="shared" si="0"/>
        <v>106338</v>
      </c>
      <c r="J18" s="179">
        <v>0</v>
      </c>
      <c r="K18" s="225">
        <v>0</v>
      </c>
      <c r="L18" s="180">
        <v>12</v>
      </c>
      <c r="M18" s="180">
        <v>0</v>
      </c>
      <c r="N18" s="182">
        <f t="shared" si="1"/>
        <v>0</v>
      </c>
      <c r="O18" s="182">
        <f t="shared" si="2"/>
        <v>0</v>
      </c>
      <c r="P18" s="115"/>
    </row>
    <row r="19" spans="1:21" ht="31.5" x14ac:dyDescent="0.25">
      <c r="A19" s="119" t="s">
        <v>370</v>
      </c>
      <c r="B19" s="172" t="s">
        <v>247</v>
      </c>
      <c r="C19" s="173" t="s">
        <v>248</v>
      </c>
      <c r="D19" s="187">
        <f>4933942</f>
        <v>4933942</v>
      </c>
      <c r="E19" s="175" t="s">
        <v>246</v>
      </c>
      <c r="F19" s="183">
        <v>600</v>
      </c>
      <c r="G19" s="223">
        <f t="shared" si="3"/>
        <v>30</v>
      </c>
      <c r="H19" s="226">
        <v>360</v>
      </c>
      <c r="I19" s="178">
        <f t="shared" si="0"/>
        <v>4933942</v>
      </c>
      <c r="J19" s="179">
        <v>0</v>
      </c>
      <c r="K19" s="225">
        <v>0</v>
      </c>
      <c r="L19" s="180">
        <v>12</v>
      </c>
      <c r="M19" s="180">
        <v>0</v>
      </c>
      <c r="N19" s="178">
        <f t="shared" si="1"/>
        <v>0</v>
      </c>
      <c r="O19" s="178">
        <f t="shared" si="2"/>
        <v>0</v>
      </c>
      <c r="P19" s="114"/>
      <c r="S19" s="11" t="s">
        <v>255</v>
      </c>
      <c r="T19" s="11" t="s">
        <v>256</v>
      </c>
      <c r="U19" s="11" t="s">
        <v>257</v>
      </c>
    </row>
    <row r="20" spans="1:21" s="31" customFormat="1" ht="15.75" x14ac:dyDescent="0.25">
      <c r="A20" s="119" t="s">
        <v>369</v>
      </c>
      <c r="B20" s="172" t="s">
        <v>336</v>
      </c>
      <c r="C20" s="181" t="s">
        <v>318</v>
      </c>
      <c r="D20" s="179">
        <v>339932</v>
      </c>
      <c r="E20" s="175" t="s">
        <v>352</v>
      </c>
      <c r="F20" s="183">
        <v>600</v>
      </c>
      <c r="G20" s="223">
        <f t="shared" si="3"/>
        <v>30</v>
      </c>
      <c r="H20" s="226">
        <v>360</v>
      </c>
      <c r="I20" s="178">
        <f t="shared" si="0"/>
        <v>339932</v>
      </c>
      <c r="J20" s="179">
        <v>0</v>
      </c>
      <c r="K20" s="225">
        <v>0</v>
      </c>
      <c r="L20" s="180">
        <v>12</v>
      </c>
      <c r="M20" s="180">
        <v>0</v>
      </c>
      <c r="N20" s="182">
        <f t="shared" si="1"/>
        <v>0</v>
      </c>
      <c r="O20" s="182">
        <f t="shared" si="2"/>
        <v>0</v>
      </c>
      <c r="P20" s="115"/>
      <c r="Q20" s="42" t="s">
        <v>258</v>
      </c>
      <c r="R20" s="43" t="s">
        <v>261</v>
      </c>
      <c r="S20" s="44">
        <v>5</v>
      </c>
      <c r="T20" s="45" t="s">
        <v>262</v>
      </c>
      <c r="U20" s="46" t="s">
        <v>263</v>
      </c>
    </row>
    <row r="21" spans="1:21" s="31" customFormat="1" ht="15.75" x14ac:dyDescent="0.25">
      <c r="A21" s="119" t="s">
        <v>369</v>
      </c>
      <c r="B21" s="172" t="s">
        <v>337</v>
      </c>
      <c r="C21" s="181" t="s">
        <v>319</v>
      </c>
      <c r="D21" s="179">
        <v>34154</v>
      </c>
      <c r="E21" s="175" t="s">
        <v>353</v>
      </c>
      <c r="F21" s="183">
        <v>600</v>
      </c>
      <c r="G21" s="223">
        <f t="shared" si="3"/>
        <v>30</v>
      </c>
      <c r="H21" s="226">
        <v>360</v>
      </c>
      <c r="I21" s="178">
        <f t="shared" si="0"/>
        <v>34154</v>
      </c>
      <c r="J21" s="179">
        <v>0</v>
      </c>
      <c r="K21" s="225">
        <v>0</v>
      </c>
      <c r="L21" s="180">
        <v>12</v>
      </c>
      <c r="M21" s="180">
        <v>0</v>
      </c>
      <c r="N21" s="182">
        <f t="shared" si="1"/>
        <v>0</v>
      </c>
      <c r="O21" s="182">
        <f t="shared" si="2"/>
        <v>0</v>
      </c>
      <c r="P21" s="115"/>
      <c r="Q21" s="42" t="s">
        <v>264</v>
      </c>
      <c r="R21" s="47" t="s">
        <v>267</v>
      </c>
      <c r="S21" s="44">
        <v>4</v>
      </c>
      <c r="T21" s="31" t="s">
        <v>268</v>
      </c>
      <c r="U21" s="46" t="s">
        <v>269</v>
      </c>
    </row>
    <row r="22" spans="1:21" s="31" customFormat="1" ht="31.5" x14ac:dyDescent="0.25">
      <c r="A22" s="119" t="s">
        <v>371</v>
      </c>
      <c r="B22" s="172" t="s">
        <v>338</v>
      </c>
      <c r="C22" s="181" t="s">
        <v>320</v>
      </c>
      <c r="D22" s="179">
        <v>63576</v>
      </c>
      <c r="E22" s="175" t="s">
        <v>354</v>
      </c>
      <c r="F22" s="183">
        <v>600</v>
      </c>
      <c r="G22" s="223">
        <f t="shared" si="3"/>
        <v>30</v>
      </c>
      <c r="H22" s="226">
        <v>360</v>
      </c>
      <c r="I22" s="178">
        <f t="shared" si="0"/>
        <v>63576</v>
      </c>
      <c r="J22" s="179">
        <v>0</v>
      </c>
      <c r="K22" s="225">
        <v>0</v>
      </c>
      <c r="L22" s="180">
        <v>12</v>
      </c>
      <c r="M22" s="180">
        <v>0</v>
      </c>
      <c r="N22" s="180">
        <v>0</v>
      </c>
      <c r="O22" s="182">
        <f t="shared" si="2"/>
        <v>0</v>
      </c>
      <c r="P22" s="115"/>
      <c r="Q22" s="42"/>
      <c r="R22" s="102"/>
      <c r="S22" s="44"/>
      <c r="U22" s="46"/>
    </row>
    <row r="23" spans="1:21" s="31" customFormat="1" ht="15.75" x14ac:dyDescent="0.25">
      <c r="A23" s="119" t="s">
        <v>370</v>
      </c>
      <c r="B23" s="183" t="s">
        <v>233</v>
      </c>
      <c r="C23" s="186" t="s">
        <v>234</v>
      </c>
      <c r="D23" s="187">
        <f>14024</f>
        <v>14024</v>
      </c>
      <c r="E23" s="175" t="s">
        <v>235</v>
      </c>
      <c r="F23" s="172">
        <v>273</v>
      </c>
      <c r="G23" s="229">
        <v>20</v>
      </c>
      <c r="H23" s="224">
        <v>240</v>
      </c>
      <c r="I23" s="178">
        <f t="shared" si="0"/>
        <v>14024</v>
      </c>
      <c r="J23" s="179">
        <v>0</v>
      </c>
      <c r="K23" s="225">
        <v>0</v>
      </c>
      <c r="L23" s="180">
        <v>12</v>
      </c>
      <c r="M23" s="180">
        <v>0</v>
      </c>
      <c r="N23" s="180">
        <v>0</v>
      </c>
      <c r="O23" s="178">
        <f t="shared" si="2"/>
        <v>0</v>
      </c>
      <c r="P23" s="114"/>
      <c r="Q23" s="42"/>
      <c r="R23" s="102"/>
      <c r="S23" s="44"/>
      <c r="U23" s="46"/>
    </row>
    <row r="24" spans="1:21" s="31" customFormat="1" ht="15.75" x14ac:dyDescent="0.25">
      <c r="A24" s="119" t="s">
        <v>370</v>
      </c>
      <c r="B24" s="183" t="s">
        <v>236</v>
      </c>
      <c r="C24" s="186" t="s">
        <v>234</v>
      </c>
      <c r="D24" s="187">
        <f>14024</f>
        <v>14024</v>
      </c>
      <c r="E24" s="175" t="s">
        <v>235</v>
      </c>
      <c r="F24" s="172">
        <v>273</v>
      </c>
      <c r="G24" s="229">
        <v>20</v>
      </c>
      <c r="H24" s="224">
        <v>240</v>
      </c>
      <c r="I24" s="178">
        <f t="shared" si="0"/>
        <v>14024</v>
      </c>
      <c r="J24" s="179">
        <v>0</v>
      </c>
      <c r="K24" s="225">
        <v>0</v>
      </c>
      <c r="L24" s="180">
        <v>12</v>
      </c>
      <c r="M24" s="180">
        <v>0</v>
      </c>
      <c r="N24" s="180">
        <v>0</v>
      </c>
      <c r="O24" s="178">
        <f t="shared" si="2"/>
        <v>0</v>
      </c>
      <c r="P24" s="114"/>
      <c r="Q24" s="42"/>
      <c r="R24" s="102"/>
      <c r="S24" s="44"/>
      <c r="U24" s="46"/>
    </row>
    <row r="25" spans="1:21" s="31" customFormat="1" ht="15.75" x14ac:dyDescent="0.25">
      <c r="A25" s="119" t="s">
        <v>370</v>
      </c>
      <c r="B25" s="183" t="s">
        <v>237</v>
      </c>
      <c r="C25" s="186" t="s">
        <v>234</v>
      </c>
      <c r="D25" s="187">
        <f>14024</f>
        <v>14024</v>
      </c>
      <c r="E25" s="175" t="s">
        <v>235</v>
      </c>
      <c r="F25" s="172">
        <v>273</v>
      </c>
      <c r="G25" s="229">
        <v>20</v>
      </c>
      <c r="H25" s="224">
        <v>240</v>
      </c>
      <c r="I25" s="178">
        <f t="shared" si="0"/>
        <v>14024</v>
      </c>
      <c r="J25" s="179">
        <v>0</v>
      </c>
      <c r="K25" s="225">
        <v>0</v>
      </c>
      <c r="L25" s="180">
        <v>12</v>
      </c>
      <c r="M25" s="180">
        <v>0</v>
      </c>
      <c r="N25" s="180">
        <v>0</v>
      </c>
      <c r="O25" s="178">
        <f t="shared" si="2"/>
        <v>0</v>
      </c>
      <c r="P25" s="114"/>
      <c r="Q25" s="42"/>
      <c r="R25" s="102"/>
      <c r="S25" s="44"/>
      <c r="U25" s="46"/>
    </row>
    <row r="26" spans="1:21" s="31" customFormat="1" ht="15.75" x14ac:dyDescent="0.25">
      <c r="A26" s="119" t="s">
        <v>370</v>
      </c>
      <c r="B26" s="183" t="s">
        <v>238</v>
      </c>
      <c r="C26" s="186" t="s">
        <v>234</v>
      </c>
      <c r="D26" s="187">
        <f>14024</f>
        <v>14024</v>
      </c>
      <c r="E26" s="175" t="s">
        <v>235</v>
      </c>
      <c r="F26" s="172">
        <v>273</v>
      </c>
      <c r="G26" s="229">
        <v>20</v>
      </c>
      <c r="H26" s="224">
        <v>240</v>
      </c>
      <c r="I26" s="178">
        <f t="shared" si="0"/>
        <v>14024</v>
      </c>
      <c r="J26" s="179">
        <v>0</v>
      </c>
      <c r="K26" s="225">
        <v>0</v>
      </c>
      <c r="L26" s="180">
        <v>12</v>
      </c>
      <c r="M26" s="180">
        <v>0</v>
      </c>
      <c r="N26" s="180">
        <v>0</v>
      </c>
      <c r="O26" s="178">
        <f t="shared" si="2"/>
        <v>0</v>
      </c>
      <c r="P26" s="114"/>
      <c r="Q26" s="42"/>
      <c r="R26" s="102"/>
      <c r="S26" s="44"/>
      <c r="U26" s="46"/>
    </row>
    <row r="27" spans="1:21" s="31" customFormat="1" ht="15.75" x14ac:dyDescent="0.25">
      <c r="A27" s="119" t="s">
        <v>370</v>
      </c>
      <c r="B27" s="172" t="s">
        <v>239</v>
      </c>
      <c r="C27" s="173" t="s">
        <v>240</v>
      </c>
      <c r="D27" s="174">
        <f>37067</f>
        <v>37067</v>
      </c>
      <c r="E27" s="175" t="s">
        <v>235</v>
      </c>
      <c r="F27" s="172">
        <v>273</v>
      </c>
      <c r="G27" s="229">
        <v>20</v>
      </c>
      <c r="H27" s="224">
        <v>240</v>
      </c>
      <c r="I27" s="178">
        <f t="shared" si="0"/>
        <v>37067</v>
      </c>
      <c r="J27" s="179">
        <v>0</v>
      </c>
      <c r="K27" s="225">
        <v>0</v>
      </c>
      <c r="L27" s="180">
        <v>12</v>
      </c>
      <c r="M27" s="180">
        <v>0</v>
      </c>
      <c r="N27" s="180">
        <v>0</v>
      </c>
      <c r="O27" s="178">
        <f t="shared" si="2"/>
        <v>0</v>
      </c>
      <c r="P27" s="114"/>
      <c r="Q27" s="42"/>
      <c r="R27" s="102"/>
      <c r="S27" s="44"/>
      <c r="U27" s="46"/>
    </row>
    <row r="28" spans="1:21" s="31" customFormat="1" ht="15.75" x14ac:dyDescent="0.25">
      <c r="A28" s="119" t="s">
        <v>370</v>
      </c>
      <c r="B28" s="172" t="s">
        <v>241</v>
      </c>
      <c r="C28" s="173" t="s">
        <v>240</v>
      </c>
      <c r="D28" s="174">
        <f>37067</f>
        <v>37067</v>
      </c>
      <c r="E28" s="175" t="s">
        <v>235</v>
      </c>
      <c r="F28" s="172">
        <v>273</v>
      </c>
      <c r="G28" s="229">
        <v>20</v>
      </c>
      <c r="H28" s="224">
        <v>240</v>
      </c>
      <c r="I28" s="178">
        <f t="shared" si="0"/>
        <v>37067</v>
      </c>
      <c r="J28" s="179">
        <v>0</v>
      </c>
      <c r="K28" s="225">
        <v>0</v>
      </c>
      <c r="L28" s="180">
        <v>12</v>
      </c>
      <c r="M28" s="180">
        <v>0</v>
      </c>
      <c r="N28" s="180">
        <v>0</v>
      </c>
      <c r="O28" s="178">
        <f t="shared" si="2"/>
        <v>0</v>
      </c>
      <c r="P28" s="114"/>
      <c r="Q28" s="42"/>
      <c r="R28" s="102"/>
      <c r="S28" s="44"/>
      <c r="U28" s="46"/>
    </row>
    <row r="29" spans="1:21" s="31" customFormat="1" ht="15.75" x14ac:dyDescent="0.25">
      <c r="A29" s="119" t="s">
        <v>370</v>
      </c>
      <c r="B29" s="172" t="s">
        <v>242</v>
      </c>
      <c r="C29" s="173" t="s">
        <v>240</v>
      </c>
      <c r="D29" s="174">
        <f>37067</f>
        <v>37067</v>
      </c>
      <c r="E29" s="175" t="s">
        <v>235</v>
      </c>
      <c r="F29" s="172">
        <v>273</v>
      </c>
      <c r="G29" s="229">
        <v>20</v>
      </c>
      <c r="H29" s="224">
        <v>240</v>
      </c>
      <c r="I29" s="178">
        <f t="shared" si="0"/>
        <v>37067</v>
      </c>
      <c r="J29" s="179">
        <v>0</v>
      </c>
      <c r="K29" s="225">
        <v>0</v>
      </c>
      <c r="L29" s="180">
        <v>12</v>
      </c>
      <c r="M29" s="180">
        <v>0</v>
      </c>
      <c r="N29" s="180">
        <v>0</v>
      </c>
      <c r="O29" s="178">
        <f t="shared" si="2"/>
        <v>0</v>
      </c>
      <c r="P29" s="114"/>
      <c r="Q29" s="42"/>
      <c r="R29" s="102"/>
      <c r="S29" s="44"/>
      <c r="U29" s="46"/>
    </row>
    <row r="30" spans="1:21" s="31" customFormat="1" ht="15.75" x14ac:dyDescent="0.25">
      <c r="A30" s="119" t="s">
        <v>370</v>
      </c>
      <c r="B30" s="172" t="s">
        <v>243</v>
      </c>
      <c r="C30" s="173" t="s">
        <v>240</v>
      </c>
      <c r="D30" s="174">
        <f>37067</f>
        <v>37067</v>
      </c>
      <c r="E30" s="175" t="s">
        <v>235</v>
      </c>
      <c r="F30" s="172">
        <v>273</v>
      </c>
      <c r="G30" s="229">
        <v>20</v>
      </c>
      <c r="H30" s="224">
        <v>240</v>
      </c>
      <c r="I30" s="178">
        <f t="shared" si="0"/>
        <v>37067</v>
      </c>
      <c r="J30" s="179">
        <v>0</v>
      </c>
      <c r="K30" s="225">
        <v>0</v>
      </c>
      <c r="L30" s="180">
        <v>12</v>
      </c>
      <c r="M30" s="180">
        <v>0</v>
      </c>
      <c r="N30" s="180">
        <v>0</v>
      </c>
      <c r="O30" s="178">
        <f t="shared" si="2"/>
        <v>0</v>
      </c>
      <c r="P30" s="114"/>
      <c r="Q30" s="42"/>
      <c r="R30" s="102"/>
      <c r="S30" s="44"/>
      <c r="U30" s="46"/>
    </row>
    <row r="31" spans="1:21" s="31" customFormat="1" ht="31.5" x14ac:dyDescent="0.25">
      <c r="A31" s="119" t="s">
        <v>371</v>
      </c>
      <c r="B31" s="172" t="s">
        <v>340</v>
      </c>
      <c r="C31" s="181" t="s">
        <v>321</v>
      </c>
      <c r="D31" s="179">
        <v>15305</v>
      </c>
      <c r="E31" s="175" t="s">
        <v>354</v>
      </c>
      <c r="F31" s="183">
        <v>600</v>
      </c>
      <c r="G31" s="223">
        <f t="shared" ref="G31:G34" si="4">H31/12</f>
        <v>30</v>
      </c>
      <c r="H31" s="226">
        <v>360</v>
      </c>
      <c r="I31" s="178">
        <f t="shared" si="0"/>
        <v>15305</v>
      </c>
      <c r="J31" s="179">
        <v>0</v>
      </c>
      <c r="K31" s="225">
        <v>0</v>
      </c>
      <c r="L31" s="180">
        <v>12</v>
      </c>
      <c r="M31" s="180">
        <v>0</v>
      </c>
      <c r="N31" s="180">
        <v>0</v>
      </c>
      <c r="O31" s="182">
        <f t="shared" si="2"/>
        <v>0</v>
      </c>
      <c r="P31" s="115"/>
      <c r="Q31" s="42"/>
      <c r="R31" s="102"/>
      <c r="S31" s="44"/>
      <c r="U31" s="46"/>
    </row>
    <row r="32" spans="1:21" s="31" customFormat="1" ht="15.75" x14ac:dyDescent="0.25">
      <c r="A32" s="119" t="s">
        <v>369</v>
      </c>
      <c r="B32" s="172" t="s">
        <v>249</v>
      </c>
      <c r="C32" s="173" t="s">
        <v>250</v>
      </c>
      <c r="D32" s="174">
        <v>33490</v>
      </c>
      <c r="E32" s="175" t="s">
        <v>251</v>
      </c>
      <c r="F32" s="175">
        <v>600</v>
      </c>
      <c r="G32" s="223">
        <f t="shared" si="4"/>
        <v>30</v>
      </c>
      <c r="H32" s="226">
        <v>360</v>
      </c>
      <c r="I32" s="178">
        <f t="shared" si="0"/>
        <v>33490</v>
      </c>
      <c r="J32" s="179">
        <v>0</v>
      </c>
      <c r="K32" s="225">
        <v>0</v>
      </c>
      <c r="L32" s="180">
        <v>12</v>
      </c>
      <c r="M32" s="180">
        <v>0</v>
      </c>
      <c r="N32" s="180">
        <v>0</v>
      </c>
      <c r="O32" s="178">
        <f t="shared" si="2"/>
        <v>0</v>
      </c>
      <c r="P32" s="114"/>
      <c r="Q32" s="42"/>
      <c r="R32" s="102"/>
      <c r="S32" s="44"/>
      <c r="U32" s="46"/>
    </row>
    <row r="33" spans="1:37" s="31" customFormat="1" ht="15.75" x14ac:dyDescent="0.25">
      <c r="A33" s="119" t="s">
        <v>371</v>
      </c>
      <c r="B33" s="172" t="s">
        <v>341</v>
      </c>
      <c r="C33" s="181" t="s">
        <v>322</v>
      </c>
      <c r="D33" s="179">
        <v>22699</v>
      </c>
      <c r="E33" s="175" t="s">
        <v>355</v>
      </c>
      <c r="F33" s="183">
        <v>600</v>
      </c>
      <c r="G33" s="223">
        <f t="shared" si="4"/>
        <v>30</v>
      </c>
      <c r="H33" s="226">
        <v>360</v>
      </c>
      <c r="I33" s="178">
        <f t="shared" si="0"/>
        <v>22699</v>
      </c>
      <c r="J33" s="179">
        <v>0</v>
      </c>
      <c r="K33" s="225">
        <v>0</v>
      </c>
      <c r="L33" s="180">
        <v>12</v>
      </c>
      <c r="M33" s="180">
        <v>0</v>
      </c>
      <c r="N33" s="180">
        <v>0</v>
      </c>
      <c r="O33" s="182">
        <f t="shared" si="2"/>
        <v>0</v>
      </c>
      <c r="P33" s="115"/>
      <c r="Q33" s="42"/>
      <c r="R33" s="102"/>
      <c r="S33" s="44"/>
      <c r="U33" s="46"/>
    </row>
    <row r="34" spans="1:37" s="31" customFormat="1" ht="31.5" x14ac:dyDescent="0.25">
      <c r="A34" s="119" t="s">
        <v>369</v>
      </c>
      <c r="B34" s="172" t="s">
        <v>252</v>
      </c>
      <c r="C34" s="173" t="s">
        <v>253</v>
      </c>
      <c r="D34" s="174">
        <v>11734</v>
      </c>
      <c r="E34" s="175" t="s">
        <v>254</v>
      </c>
      <c r="F34" s="175">
        <v>600</v>
      </c>
      <c r="G34" s="223">
        <f t="shared" si="4"/>
        <v>30</v>
      </c>
      <c r="H34" s="226">
        <v>360</v>
      </c>
      <c r="I34" s="178">
        <f t="shared" si="0"/>
        <v>11734</v>
      </c>
      <c r="J34" s="179">
        <v>0</v>
      </c>
      <c r="K34" s="225">
        <v>0</v>
      </c>
      <c r="L34" s="180">
        <v>12</v>
      </c>
      <c r="M34" s="180">
        <v>0</v>
      </c>
      <c r="N34" s="180">
        <v>0</v>
      </c>
      <c r="O34" s="178">
        <f t="shared" si="2"/>
        <v>0</v>
      </c>
      <c r="P34" s="114"/>
      <c r="Q34" s="42"/>
      <c r="R34" s="102"/>
      <c r="S34" s="44"/>
      <c r="U34" s="46"/>
    </row>
    <row r="35" spans="1:37" s="31" customFormat="1" ht="15.75" x14ac:dyDescent="0.25">
      <c r="A35" s="119" t="s">
        <v>369</v>
      </c>
      <c r="B35" s="172" t="s">
        <v>361</v>
      </c>
      <c r="C35" s="181" t="s">
        <v>357</v>
      </c>
      <c r="D35" s="179">
        <v>717966</v>
      </c>
      <c r="E35" s="175" t="s">
        <v>364</v>
      </c>
      <c r="F35" s="175">
        <v>180</v>
      </c>
      <c r="G35" s="230">
        <v>15</v>
      </c>
      <c r="H35" s="231">
        <v>180</v>
      </c>
      <c r="I35" s="182">
        <f>V35</f>
        <v>418845</v>
      </c>
      <c r="J35" s="174">
        <f>D35-I35</f>
        <v>299121</v>
      </c>
      <c r="K35" s="232">
        <v>4021</v>
      </c>
      <c r="L35" s="180">
        <v>12</v>
      </c>
      <c r="M35" s="228">
        <f>ROUND(D35/H35,0)</f>
        <v>3989</v>
      </c>
      <c r="N35" s="182">
        <f>L35*M35</f>
        <v>47868</v>
      </c>
      <c r="O35" s="182">
        <f t="shared" si="2"/>
        <v>251253</v>
      </c>
      <c r="P35" s="210">
        <f>D35/M35</f>
        <v>179.98646277262472</v>
      </c>
      <c r="Q35" s="210">
        <f>D35/K35</f>
        <v>178.5540910221338</v>
      </c>
      <c r="R35" s="210"/>
      <c r="S35" s="207">
        <v>40633</v>
      </c>
      <c r="T35" s="207">
        <v>43831</v>
      </c>
      <c r="U35" s="209">
        <f>DATEDIF(S35,T35,"m")</f>
        <v>105</v>
      </c>
      <c r="V35" s="115">
        <f t="shared" ref="V35:V42" si="5">M35*U35</f>
        <v>418845</v>
      </c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42">
        <v>143120162</v>
      </c>
      <c r="AH35" s="102"/>
      <c r="AI35" s="44"/>
      <c r="AK35" s="46"/>
    </row>
    <row r="36" spans="1:37" s="31" customFormat="1" ht="15.75" x14ac:dyDescent="0.25">
      <c r="A36" s="119" t="s">
        <v>369</v>
      </c>
      <c r="B36" s="172" t="s">
        <v>360</v>
      </c>
      <c r="C36" s="181" t="s">
        <v>356</v>
      </c>
      <c r="D36" s="179">
        <v>1627956</v>
      </c>
      <c r="E36" s="175" t="s">
        <v>363</v>
      </c>
      <c r="F36" s="175">
        <v>180</v>
      </c>
      <c r="G36" s="230">
        <v>15</v>
      </c>
      <c r="H36" s="231">
        <v>180</v>
      </c>
      <c r="I36" s="182">
        <f t="shared" ref="I36:I42" si="6">V36</f>
        <v>868224</v>
      </c>
      <c r="J36" s="174">
        <f t="shared" ref="J36:J42" si="7">D36-I36</f>
        <v>759732</v>
      </c>
      <c r="K36" s="232">
        <v>9117</v>
      </c>
      <c r="L36" s="180">
        <v>12</v>
      </c>
      <c r="M36" s="228">
        <f t="shared" ref="M36:M37" si="8">ROUND(D36/H36,0)</f>
        <v>9044</v>
      </c>
      <c r="N36" s="182">
        <f t="shared" ref="N36:N42" si="9">L36*M36</f>
        <v>108528</v>
      </c>
      <c r="O36" s="182">
        <f t="shared" si="2"/>
        <v>651204</v>
      </c>
      <c r="P36" s="210">
        <f t="shared" ref="P36:P42" si="10">D36/M36</f>
        <v>180.00398053958426</v>
      </c>
      <c r="Q36" s="210">
        <f t="shared" ref="Q36:Q42" si="11">D36/K36</f>
        <v>178.56268509378086</v>
      </c>
      <c r="R36" s="210"/>
      <c r="S36" s="207">
        <v>40908</v>
      </c>
      <c r="T36" s="207">
        <v>43831</v>
      </c>
      <c r="U36" s="209">
        <f t="shared" ref="U36:U42" si="12">DATEDIF(S36,T36,"m")</f>
        <v>96</v>
      </c>
      <c r="V36" s="115">
        <f t="shared" si="5"/>
        <v>868224</v>
      </c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42" t="s">
        <v>359</v>
      </c>
      <c r="AH36" s="102"/>
      <c r="AI36" s="44"/>
      <c r="AK36" s="46"/>
    </row>
    <row r="37" spans="1:37" s="31" customFormat="1" ht="15.75" x14ac:dyDescent="0.25">
      <c r="A37" s="119" t="s">
        <v>367</v>
      </c>
      <c r="B37" s="172" t="s">
        <v>258</v>
      </c>
      <c r="C37" s="181" t="s">
        <v>259</v>
      </c>
      <c r="D37" s="179">
        <f>98321</f>
        <v>98321</v>
      </c>
      <c r="E37" s="175" t="s">
        <v>260</v>
      </c>
      <c r="F37" s="183">
        <v>120</v>
      </c>
      <c r="G37" s="230">
        <v>10</v>
      </c>
      <c r="H37" s="224">
        <f>10*12</f>
        <v>120</v>
      </c>
      <c r="I37" s="182">
        <f t="shared" si="6"/>
        <v>72072</v>
      </c>
      <c r="J37" s="174">
        <f t="shared" si="7"/>
        <v>26249</v>
      </c>
      <c r="K37" s="232">
        <v>816</v>
      </c>
      <c r="L37" s="180">
        <v>12</v>
      </c>
      <c r="M37" s="228">
        <f t="shared" si="8"/>
        <v>819</v>
      </c>
      <c r="N37" s="182">
        <f t="shared" si="9"/>
        <v>9828</v>
      </c>
      <c r="O37" s="182">
        <f t="shared" si="2"/>
        <v>16421</v>
      </c>
      <c r="P37" s="210">
        <f t="shared" si="10"/>
        <v>120.05006105006105</v>
      </c>
      <c r="Q37" s="210">
        <f t="shared" si="11"/>
        <v>120.49142156862744</v>
      </c>
      <c r="R37" s="210"/>
      <c r="S37" s="207">
        <v>41152</v>
      </c>
      <c r="T37" s="207">
        <v>43831</v>
      </c>
      <c r="U37" s="209">
        <f t="shared" si="12"/>
        <v>88</v>
      </c>
      <c r="V37" s="115">
        <f t="shared" si="5"/>
        <v>72072</v>
      </c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42"/>
      <c r="AH37" s="102"/>
      <c r="AI37" s="44"/>
      <c r="AK37" s="46"/>
    </row>
    <row r="38" spans="1:37" s="31" customFormat="1" ht="15.75" x14ac:dyDescent="0.25">
      <c r="A38" s="119" t="s">
        <v>367</v>
      </c>
      <c r="B38" s="189">
        <v>4707100272</v>
      </c>
      <c r="C38" s="275" t="s">
        <v>278</v>
      </c>
      <c r="D38" s="265">
        <v>91525</v>
      </c>
      <c r="E38" s="266" t="s">
        <v>275</v>
      </c>
      <c r="F38" s="267">
        <v>60</v>
      </c>
      <c r="G38" s="268">
        <v>5</v>
      </c>
      <c r="H38" s="269">
        <f>5*12</f>
        <v>60</v>
      </c>
      <c r="I38" s="270">
        <f t="shared" si="6"/>
        <v>76271</v>
      </c>
      <c r="J38" s="271">
        <f t="shared" si="7"/>
        <v>15254</v>
      </c>
      <c r="K38" s="272">
        <v>1528</v>
      </c>
      <c r="L38" s="276">
        <v>10</v>
      </c>
      <c r="M38" s="277">
        <f>ROUND(D38/H38,2)</f>
        <v>1525.42</v>
      </c>
      <c r="N38" s="270">
        <f t="shared" si="9"/>
        <v>15254.2</v>
      </c>
      <c r="O38" s="273">
        <f t="shared" si="2"/>
        <v>-0.2000000000007276</v>
      </c>
      <c r="P38" s="210">
        <f t="shared" si="10"/>
        <v>59.999868888568393</v>
      </c>
      <c r="Q38" s="210">
        <f t="shared" si="11"/>
        <v>59.898560209424083</v>
      </c>
      <c r="R38" s="210"/>
      <c r="S38" s="208">
        <v>42308</v>
      </c>
      <c r="T38" s="207">
        <v>43831</v>
      </c>
      <c r="U38" s="209">
        <f t="shared" si="12"/>
        <v>50</v>
      </c>
      <c r="V38" s="115">
        <f t="shared" si="5"/>
        <v>76271</v>
      </c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42"/>
      <c r="AH38" s="102"/>
      <c r="AI38" s="44"/>
      <c r="AK38" s="46"/>
    </row>
    <row r="39" spans="1:37" s="31" customFormat="1" ht="15.75" x14ac:dyDescent="0.25">
      <c r="A39" s="119" t="s">
        <v>367</v>
      </c>
      <c r="B39" s="189">
        <v>4707100273</v>
      </c>
      <c r="C39" s="275" t="s">
        <v>273</v>
      </c>
      <c r="D39" s="265">
        <v>1029661</v>
      </c>
      <c r="E39" s="266" t="s">
        <v>275</v>
      </c>
      <c r="F39" s="267">
        <v>60</v>
      </c>
      <c r="G39" s="268">
        <v>5</v>
      </c>
      <c r="H39" s="269">
        <f>5*12</f>
        <v>60</v>
      </c>
      <c r="I39" s="270">
        <f t="shared" si="6"/>
        <v>858051</v>
      </c>
      <c r="J39" s="271">
        <f t="shared" si="7"/>
        <v>171610</v>
      </c>
      <c r="K39" s="272">
        <v>17195</v>
      </c>
      <c r="L39" s="276">
        <v>10</v>
      </c>
      <c r="M39" s="277">
        <f>ROUND(D39/H39,2)</f>
        <v>17161.02</v>
      </c>
      <c r="N39" s="270">
        <f t="shared" si="9"/>
        <v>171610.2</v>
      </c>
      <c r="O39" s="273">
        <f t="shared" si="2"/>
        <v>-0.20000000001164153</v>
      </c>
      <c r="P39" s="210">
        <f t="shared" si="10"/>
        <v>59.999988345681082</v>
      </c>
      <c r="Q39" s="210">
        <f t="shared" si="11"/>
        <v>59.881419017156148</v>
      </c>
      <c r="R39" s="210"/>
      <c r="S39" s="208">
        <v>42308</v>
      </c>
      <c r="T39" s="207">
        <v>43831</v>
      </c>
      <c r="U39" s="209">
        <f t="shared" si="12"/>
        <v>50</v>
      </c>
      <c r="V39" s="115">
        <f t="shared" si="5"/>
        <v>858051</v>
      </c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42"/>
      <c r="AH39" s="102"/>
      <c r="AI39" s="44"/>
      <c r="AK39" s="46"/>
    </row>
    <row r="40" spans="1:37" s="31" customFormat="1" ht="15.75" x14ac:dyDescent="0.25">
      <c r="A40" s="119" t="s">
        <v>367</v>
      </c>
      <c r="B40" s="189">
        <v>4707100274</v>
      </c>
      <c r="C40" s="275" t="s">
        <v>280</v>
      </c>
      <c r="D40" s="265">
        <v>133898</v>
      </c>
      <c r="E40" s="266" t="s">
        <v>275</v>
      </c>
      <c r="F40" s="267">
        <v>60</v>
      </c>
      <c r="G40" s="268">
        <v>5</v>
      </c>
      <c r="H40" s="269">
        <f>5*12</f>
        <v>60</v>
      </c>
      <c r="I40" s="270">
        <f t="shared" si="6"/>
        <v>111581.5</v>
      </c>
      <c r="J40" s="271">
        <f t="shared" si="7"/>
        <v>22316.5</v>
      </c>
      <c r="K40" s="272">
        <v>2236</v>
      </c>
      <c r="L40" s="276">
        <v>10</v>
      </c>
      <c r="M40" s="277">
        <f>ROUND(D40/H40,2)</f>
        <v>2231.63</v>
      </c>
      <c r="N40" s="270">
        <f t="shared" si="9"/>
        <v>22316.300000000003</v>
      </c>
      <c r="O40" s="273">
        <f t="shared" si="2"/>
        <v>0.19999999999708962</v>
      </c>
      <c r="P40" s="210">
        <f t="shared" si="10"/>
        <v>60.000089620591226</v>
      </c>
      <c r="Q40" s="210">
        <f t="shared" si="11"/>
        <v>59.882826475849733</v>
      </c>
      <c r="R40" s="210"/>
      <c r="S40" s="208">
        <v>42308</v>
      </c>
      <c r="T40" s="207">
        <v>43831</v>
      </c>
      <c r="U40" s="209">
        <f t="shared" si="12"/>
        <v>50</v>
      </c>
      <c r="V40" s="115">
        <f t="shared" si="5"/>
        <v>111581.5</v>
      </c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42"/>
      <c r="AH40" s="102"/>
      <c r="AI40" s="44"/>
      <c r="AK40" s="46"/>
    </row>
    <row r="41" spans="1:37" s="31" customFormat="1" ht="31.5" x14ac:dyDescent="0.25">
      <c r="A41" s="119" t="s">
        <v>367</v>
      </c>
      <c r="B41" s="189">
        <v>4707100275</v>
      </c>
      <c r="C41" s="275" t="s">
        <v>282</v>
      </c>
      <c r="D41" s="265">
        <v>129251</v>
      </c>
      <c r="E41" s="266" t="s">
        <v>275</v>
      </c>
      <c r="F41" s="267">
        <v>60</v>
      </c>
      <c r="G41" s="268">
        <v>5</v>
      </c>
      <c r="H41" s="269">
        <f>5*12</f>
        <v>60</v>
      </c>
      <c r="I41" s="270">
        <f t="shared" si="6"/>
        <v>107708.99999999999</v>
      </c>
      <c r="J41" s="271">
        <f t="shared" si="7"/>
        <v>21542.000000000015</v>
      </c>
      <c r="K41" s="272">
        <v>2158</v>
      </c>
      <c r="L41" s="276">
        <v>10</v>
      </c>
      <c r="M41" s="277">
        <f>ROUND(D41/H41,2)</f>
        <v>2154.1799999999998</v>
      </c>
      <c r="N41" s="270">
        <f t="shared" si="9"/>
        <v>21541.8</v>
      </c>
      <c r="O41" s="273">
        <f t="shared" si="2"/>
        <v>0.20000000001527951</v>
      </c>
      <c r="P41" s="210">
        <f t="shared" si="10"/>
        <v>60.000092842752238</v>
      </c>
      <c r="Q41" s="210">
        <f t="shared" si="11"/>
        <v>59.893883225208526</v>
      </c>
      <c r="R41" s="210"/>
      <c r="S41" s="208">
        <v>42308</v>
      </c>
      <c r="T41" s="207">
        <v>43831</v>
      </c>
      <c r="U41" s="209">
        <f t="shared" si="12"/>
        <v>50</v>
      </c>
      <c r="V41" s="115">
        <f t="shared" si="5"/>
        <v>107708.99999999999</v>
      </c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42" t="s">
        <v>359</v>
      </c>
      <c r="AH41" s="102"/>
      <c r="AI41" s="44"/>
      <c r="AK41" s="46"/>
    </row>
    <row r="42" spans="1:37" s="31" customFormat="1" ht="15.75" x14ac:dyDescent="0.25">
      <c r="A42" s="119" t="s">
        <v>367</v>
      </c>
      <c r="B42" s="189">
        <v>4707100276</v>
      </c>
      <c r="C42" s="275" t="s">
        <v>276</v>
      </c>
      <c r="D42" s="265">
        <v>217712</v>
      </c>
      <c r="E42" s="266" t="s">
        <v>275</v>
      </c>
      <c r="F42" s="267">
        <v>60</v>
      </c>
      <c r="G42" s="268">
        <v>5</v>
      </c>
      <c r="H42" s="269">
        <f>5*12</f>
        <v>60</v>
      </c>
      <c r="I42" s="270">
        <f t="shared" si="6"/>
        <v>181426.5</v>
      </c>
      <c r="J42" s="271">
        <f t="shared" si="7"/>
        <v>36285.5</v>
      </c>
      <c r="K42" s="272">
        <v>3636</v>
      </c>
      <c r="L42" s="276">
        <v>10</v>
      </c>
      <c r="M42" s="277">
        <f>ROUND(D42/H42,2)</f>
        <v>3628.53</v>
      </c>
      <c r="N42" s="270">
        <f t="shared" si="9"/>
        <v>36285.300000000003</v>
      </c>
      <c r="O42" s="273">
        <f t="shared" si="2"/>
        <v>0.19999999999708962</v>
      </c>
      <c r="P42" s="210">
        <f t="shared" si="10"/>
        <v>60.000055118739539</v>
      </c>
      <c r="Q42" s="210">
        <f t="shared" si="11"/>
        <v>59.876787678767876</v>
      </c>
      <c r="R42" s="210"/>
      <c r="S42" s="208">
        <v>42308</v>
      </c>
      <c r="T42" s="207">
        <v>43831</v>
      </c>
      <c r="U42" s="209">
        <f t="shared" si="12"/>
        <v>50</v>
      </c>
      <c r="V42" s="115">
        <f t="shared" si="5"/>
        <v>181426.5</v>
      </c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42" t="s">
        <v>359</v>
      </c>
      <c r="AH42" s="102"/>
      <c r="AI42" s="44"/>
      <c r="AK42" s="46"/>
    </row>
    <row r="43" spans="1:37" s="106" customFormat="1" ht="31.5" x14ac:dyDescent="0.25">
      <c r="A43" s="119" t="s">
        <v>367</v>
      </c>
      <c r="B43" s="189">
        <v>5040200078</v>
      </c>
      <c r="C43" s="190" t="s">
        <v>265</v>
      </c>
      <c r="D43" s="191">
        <f>398284</f>
        <v>398284</v>
      </c>
      <c r="E43" s="189" t="s">
        <v>266</v>
      </c>
      <c r="F43" s="192">
        <v>84</v>
      </c>
      <c r="G43" s="230">
        <v>7</v>
      </c>
      <c r="H43" s="224">
        <f>7*12</f>
        <v>84</v>
      </c>
      <c r="I43" s="178">
        <f t="shared" ref="I43" si="13">D43</f>
        <v>398284</v>
      </c>
      <c r="J43" s="179">
        <v>0</v>
      </c>
      <c r="K43" s="225">
        <v>0</v>
      </c>
      <c r="L43" s="180">
        <v>12</v>
      </c>
      <c r="M43" s="180">
        <v>0</v>
      </c>
      <c r="N43" s="180">
        <v>0</v>
      </c>
      <c r="O43" s="178">
        <f t="shared" si="2"/>
        <v>0</v>
      </c>
      <c r="P43" s="114"/>
      <c r="Q43" s="103"/>
      <c r="R43" s="104"/>
      <c r="S43" s="105" t="e">
        <f>33488/K43</f>
        <v>#DIV/0!</v>
      </c>
      <c r="U43" s="107"/>
    </row>
    <row r="44" spans="1:37" s="106" customFormat="1" ht="47.25" x14ac:dyDescent="0.25">
      <c r="A44" s="119" t="s">
        <v>367</v>
      </c>
      <c r="B44" s="189" t="s">
        <v>383</v>
      </c>
      <c r="C44" s="190" t="s">
        <v>384</v>
      </c>
      <c r="D44" s="191">
        <v>1525636</v>
      </c>
      <c r="E44" s="189" t="s">
        <v>385</v>
      </c>
      <c r="F44" s="192">
        <v>108</v>
      </c>
      <c r="G44" s="233">
        <v>10</v>
      </c>
      <c r="H44" s="234">
        <v>120</v>
      </c>
      <c r="I44" s="178">
        <f t="shared" ref="I44:I45" si="14">D44</f>
        <v>1525636</v>
      </c>
      <c r="J44" s="179">
        <v>0</v>
      </c>
      <c r="K44" s="225">
        <v>0</v>
      </c>
      <c r="L44" s="180">
        <v>12</v>
      </c>
      <c r="M44" s="180">
        <v>0</v>
      </c>
      <c r="N44" s="180">
        <v>0</v>
      </c>
      <c r="O44" s="178"/>
      <c r="P44" s="114"/>
      <c r="Q44" s="103"/>
      <c r="R44" s="104"/>
      <c r="S44" s="105"/>
      <c r="U44" s="107"/>
    </row>
    <row r="45" spans="1:37" s="106" customFormat="1" ht="47.25" x14ac:dyDescent="0.25">
      <c r="A45" s="119" t="s">
        <v>367</v>
      </c>
      <c r="B45" s="189">
        <v>4705800004</v>
      </c>
      <c r="C45" s="190" t="s">
        <v>384</v>
      </c>
      <c r="D45" s="191">
        <v>135688</v>
      </c>
      <c r="E45" s="189" t="s">
        <v>386</v>
      </c>
      <c r="F45" s="192">
        <v>108</v>
      </c>
      <c r="G45" s="233">
        <v>10</v>
      </c>
      <c r="H45" s="234">
        <v>120</v>
      </c>
      <c r="I45" s="178">
        <f t="shared" si="14"/>
        <v>135688</v>
      </c>
      <c r="J45" s="179">
        <v>0</v>
      </c>
      <c r="K45" s="225">
        <v>0</v>
      </c>
      <c r="L45" s="180">
        <v>12</v>
      </c>
      <c r="M45" s="180">
        <v>0</v>
      </c>
      <c r="N45" s="180">
        <v>0</v>
      </c>
      <c r="O45" s="178"/>
      <c r="P45" s="114"/>
      <c r="Q45" s="103"/>
      <c r="R45" s="104"/>
      <c r="S45" s="105"/>
      <c r="U45" s="107"/>
    </row>
    <row r="46" spans="1:37" ht="15.75" x14ac:dyDescent="0.25">
      <c r="A46" s="31"/>
      <c r="B46" s="177"/>
      <c r="C46" s="193" t="s">
        <v>270</v>
      </c>
      <c r="D46" s="194">
        <f>SUM(D5:D43)</f>
        <v>16137096</v>
      </c>
      <c r="E46" s="195"/>
      <c r="F46" s="195"/>
      <c r="G46" s="195"/>
      <c r="H46" s="195"/>
      <c r="I46" s="194">
        <f>SUM(I5:I45)</f>
        <v>16446310</v>
      </c>
      <c r="J46" s="194">
        <f t="shared" ref="J46:N46" si="15">SUM(J5:J45)</f>
        <v>1352110</v>
      </c>
      <c r="K46" s="235">
        <f t="shared" si="15"/>
        <v>40707</v>
      </c>
      <c r="L46" s="194">
        <f t="shared" si="15"/>
        <v>478.12820512820514</v>
      </c>
      <c r="M46" s="194">
        <f t="shared" si="15"/>
        <v>40552.78</v>
      </c>
      <c r="N46" s="194">
        <f t="shared" si="15"/>
        <v>433231.8</v>
      </c>
      <c r="O46" s="196"/>
      <c r="P46" s="109" t="s">
        <v>370</v>
      </c>
      <c r="Q46" s="92">
        <f>SUMIFS(N5:N43,A5:A43,P46)</f>
        <v>0</v>
      </c>
      <c r="R46" s="96">
        <f>Q46*$E$52/100</f>
        <v>0</v>
      </c>
    </row>
    <row r="47" spans="1:37" ht="15.75" x14ac:dyDescent="0.25">
      <c r="A47" s="31"/>
      <c r="B47" s="347" t="s">
        <v>289</v>
      </c>
      <c r="C47" s="347"/>
      <c r="D47" s="197"/>
      <c r="E47" s="198"/>
      <c r="F47" s="198"/>
      <c r="G47" s="198"/>
      <c r="H47" s="198"/>
      <c r="I47" s="199" t="s">
        <v>179</v>
      </c>
      <c r="J47" s="197">
        <f>J46*E52/100</f>
        <v>162503.20493066256</v>
      </c>
      <c r="K47" s="197"/>
      <c r="L47" s="198"/>
      <c r="M47" s="197">
        <f>M46*E52/100</f>
        <v>4873.8318027734977</v>
      </c>
      <c r="N47" s="197">
        <f>N46*E52/100</f>
        <v>52067.920493066253</v>
      </c>
      <c r="O47" s="200"/>
      <c r="P47" s="109" t="s">
        <v>369</v>
      </c>
      <c r="Q47" s="92">
        <f>SUMIFS(N5:N43,A5:A43,P47)</f>
        <v>156396</v>
      </c>
      <c r="R47" s="96">
        <f t="shared" ref="R47:R49" si="16">Q47*$E$52/100</f>
        <v>18796.437596302003</v>
      </c>
    </row>
    <row r="48" spans="1:37" x14ac:dyDescent="0.25">
      <c r="B48" s="53"/>
      <c r="C48" s="53"/>
      <c r="D48" s="54"/>
      <c r="E48" s="55"/>
      <c r="F48" s="55"/>
      <c r="G48" s="55"/>
      <c r="H48" s="55"/>
      <c r="I48" s="54"/>
      <c r="J48" s="54"/>
      <c r="K48" s="54"/>
      <c r="L48" s="55"/>
      <c r="M48" s="54"/>
      <c r="N48" s="49"/>
      <c r="O48" s="49"/>
      <c r="P48" s="109" t="s">
        <v>371</v>
      </c>
      <c r="Q48" s="92">
        <f>SUMIFS(N5:N43,A5:A43,P48)</f>
        <v>0</v>
      </c>
      <c r="R48" s="96">
        <f t="shared" si="16"/>
        <v>0</v>
      </c>
    </row>
    <row r="49" spans="2:18" ht="15" customHeight="1" x14ac:dyDescent="0.25">
      <c r="B49" s="319" t="s">
        <v>300</v>
      </c>
      <c r="C49" s="319"/>
      <c r="D49" s="319"/>
      <c r="E49"/>
      <c r="F49" s="55"/>
      <c r="G49" s="55"/>
      <c r="H49" s="55"/>
      <c r="I49" s="349" t="s">
        <v>373</v>
      </c>
      <c r="J49" s="349"/>
      <c r="K49" s="349"/>
      <c r="L49" s="55"/>
      <c r="M49" s="54"/>
      <c r="N49" s="49"/>
      <c r="O49" s="49"/>
      <c r="P49" s="109" t="s">
        <v>367</v>
      </c>
      <c r="Q49" s="92">
        <f>SUMIFS(N5:N43,A5:A43,P49)</f>
        <v>276835.8</v>
      </c>
      <c r="R49" s="96">
        <f t="shared" si="16"/>
        <v>33271.482896764253</v>
      </c>
    </row>
    <row r="50" spans="2:18" ht="60" x14ac:dyDescent="0.25">
      <c r="B50" s="48"/>
      <c r="C50" s="7"/>
      <c r="D50" s="93" t="s">
        <v>429</v>
      </c>
      <c r="E50" s="93" t="s">
        <v>377</v>
      </c>
      <c r="F50" s="55"/>
      <c r="G50" s="54"/>
      <c r="H50" s="54"/>
      <c r="I50" s="117"/>
      <c r="J50" s="118" t="s">
        <v>374</v>
      </c>
      <c r="K50" s="118" t="s">
        <v>378</v>
      </c>
      <c r="L50" s="54"/>
      <c r="M50" s="49"/>
      <c r="N50" s="49"/>
    </row>
    <row r="51" spans="2:18" ht="30" x14ac:dyDescent="0.25">
      <c r="B51" s="48">
        <v>1</v>
      </c>
      <c r="C51" s="91" t="s">
        <v>301</v>
      </c>
      <c r="D51" s="111">
        <f>расшифровки_2018!G33</f>
        <v>85650</v>
      </c>
      <c r="E51" s="111">
        <f>E53-E52</f>
        <v>87.981510015408318</v>
      </c>
      <c r="F51" s="55"/>
      <c r="G51" s="54"/>
      <c r="H51" s="54"/>
      <c r="I51" s="119" t="s">
        <v>370</v>
      </c>
      <c r="J51" s="211">
        <f>SUMIFS(N5:N45,A5:A45,P46)</f>
        <v>0</v>
      </c>
      <c r="K51" s="211">
        <f>J51*$E$52/100</f>
        <v>0</v>
      </c>
      <c r="L51" s="54"/>
      <c r="M51" s="49"/>
      <c r="N51" s="49"/>
    </row>
    <row r="52" spans="2:18" ht="30" x14ac:dyDescent="0.25">
      <c r="B52" s="48">
        <v>2</v>
      </c>
      <c r="C52" s="91" t="s">
        <v>302</v>
      </c>
      <c r="D52" s="111">
        <f>расшифровки_2018!G34</f>
        <v>11700</v>
      </c>
      <c r="E52" s="111">
        <f>E53/D53*D52</f>
        <v>12.01848998459168</v>
      </c>
      <c r="F52" s="55"/>
      <c r="G52" s="54"/>
      <c r="H52" s="54"/>
      <c r="I52" s="119" t="s">
        <v>369</v>
      </c>
      <c r="J52" s="211">
        <f>SUMIFS(N5:N45,A5:A45,P47)</f>
        <v>156396</v>
      </c>
      <c r="K52" s="211">
        <f t="shared" ref="K52:K54" si="17">J52*$E$52/100</f>
        <v>18796.437596302003</v>
      </c>
      <c r="L52" s="54"/>
      <c r="M52" s="49"/>
      <c r="N52" s="49"/>
    </row>
    <row r="53" spans="2:18" x14ac:dyDescent="0.25">
      <c r="B53" s="48">
        <v>3</v>
      </c>
      <c r="C53" s="94" t="s">
        <v>303</v>
      </c>
      <c r="D53" s="203">
        <f>расшифровки_2018!G35</f>
        <v>97350</v>
      </c>
      <c r="E53" s="110">
        <v>100</v>
      </c>
      <c r="F53" s="55"/>
      <c r="G53" s="54"/>
      <c r="H53" s="54"/>
      <c r="I53" s="119" t="s">
        <v>371</v>
      </c>
      <c r="J53" s="211">
        <f>SUMIFS(N5:N45,A5:A45,P48)</f>
        <v>0</v>
      </c>
      <c r="K53" s="211">
        <f t="shared" si="17"/>
        <v>0</v>
      </c>
      <c r="L53" s="54"/>
      <c r="M53" s="49"/>
      <c r="N53" s="49"/>
    </row>
    <row r="54" spans="2:18" x14ac:dyDescent="0.25">
      <c r="B54" s="53"/>
      <c r="C54" s="53"/>
      <c r="D54" s="54"/>
      <c r="E54" s="55"/>
      <c r="F54" s="55"/>
      <c r="G54" s="55"/>
      <c r="H54" s="55"/>
      <c r="I54" s="119" t="s">
        <v>367</v>
      </c>
      <c r="J54" s="211">
        <f>SUMIFS(N5:N45,A5:A45,P49)</f>
        <v>276835.8</v>
      </c>
      <c r="K54" s="211">
        <f t="shared" si="17"/>
        <v>33271.482896764253</v>
      </c>
      <c r="L54" s="55"/>
      <c r="M54" s="54"/>
      <c r="N54" s="49"/>
      <c r="O54" s="49"/>
      <c r="P54" s="49"/>
    </row>
    <row r="55" spans="2:18" x14ac:dyDescent="0.25">
      <c r="B55" s="53"/>
      <c r="C55" s="53"/>
      <c r="D55" s="54"/>
      <c r="E55" s="55"/>
      <c r="F55" s="55"/>
      <c r="G55" s="55"/>
      <c r="H55" s="55"/>
      <c r="I55" s="120"/>
      <c r="J55" s="121"/>
      <c r="K55" s="122"/>
      <c r="L55" s="55"/>
      <c r="M55" s="54"/>
      <c r="N55" s="49"/>
      <c r="O55" s="49"/>
      <c r="P55" s="49"/>
    </row>
    <row r="56" spans="2:18" ht="15.75" x14ac:dyDescent="0.25">
      <c r="B56" s="206" t="s">
        <v>392</v>
      </c>
      <c r="C56" s="204"/>
      <c r="D56" s="54"/>
      <c r="E56" s="205"/>
      <c r="F56" s="205"/>
      <c r="G56" s="205"/>
      <c r="H56" s="205"/>
      <c r="I56" s="120"/>
      <c r="J56" s="121"/>
      <c r="K56" s="122"/>
      <c r="L56" s="55"/>
      <c r="M56" s="54"/>
      <c r="N56" s="49"/>
      <c r="O56" s="49"/>
      <c r="P56" s="49"/>
    </row>
    <row r="57" spans="2:18" ht="15.75" x14ac:dyDescent="0.25">
      <c r="B57" s="206" t="s">
        <v>393</v>
      </c>
      <c r="I57" s="54"/>
      <c r="J57" s="54"/>
      <c r="K57" s="54"/>
      <c r="M57"/>
      <c r="N57"/>
    </row>
    <row r="58" spans="2:18" x14ac:dyDescent="0.25">
      <c r="M58"/>
      <c r="N58"/>
    </row>
    <row r="59" spans="2:18" x14ac:dyDescent="0.25">
      <c r="C59" s="33" t="s">
        <v>172</v>
      </c>
      <c r="D59" s="17"/>
      <c r="E59" s="17"/>
      <c r="F59" s="14"/>
    </row>
    <row r="60" spans="2:18" x14ac:dyDescent="0.25">
      <c r="C60" s="34" t="s">
        <v>174</v>
      </c>
      <c r="D60" s="18"/>
      <c r="E60" s="18"/>
      <c r="F60" s="12" t="s">
        <v>176</v>
      </c>
      <c r="I60" s="16" t="s">
        <v>173</v>
      </c>
    </row>
    <row r="61" spans="2:18" x14ac:dyDescent="0.25">
      <c r="I61" s="15" t="s">
        <v>175</v>
      </c>
    </row>
    <row r="62" spans="2:18" x14ac:dyDescent="0.25">
      <c r="C62" s="11" t="s">
        <v>195</v>
      </c>
    </row>
    <row r="64" spans="2:18" x14ac:dyDescent="0.25">
      <c r="K64" s="30" t="e">
        <f>#REF!+K19</f>
        <v>#REF!</v>
      </c>
      <c r="M64" s="11">
        <f>K47*12</f>
        <v>0</v>
      </c>
    </row>
    <row r="65" spans="2:14" x14ac:dyDescent="0.25">
      <c r="K65" s="11" t="e">
        <f>K64*12</f>
        <v>#REF!</v>
      </c>
    </row>
    <row r="66" spans="2:14" x14ac:dyDescent="0.25">
      <c r="K66" s="11" t="e">
        <f>K65*0.357/1000</f>
        <v>#REF!</v>
      </c>
    </row>
    <row r="68" spans="2:14" x14ac:dyDescent="0.25">
      <c r="N68" s="11">
        <v>230333</v>
      </c>
    </row>
    <row r="69" spans="2:14" ht="15.75" x14ac:dyDescent="0.25">
      <c r="K69" s="30">
        <f>SUM(K10:K18)</f>
        <v>0</v>
      </c>
      <c r="N69" s="98">
        <f>N68*0.357</f>
        <v>82228.880999999994</v>
      </c>
    </row>
    <row r="70" spans="2:14" x14ac:dyDescent="0.25">
      <c r="K70" s="11">
        <f>K69*12</f>
        <v>0</v>
      </c>
    </row>
    <row r="71" spans="2:14" x14ac:dyDescent="0.25">
      <c r="K71" s="11">
        <f>K70*0.357</f>
        <v>0</v>
      </c>
    </row>
    <row r="73" spans="2:14" x14ac:dyDescent="0.25">
      <c r="K73" s="30">
        <f>SUM(K20:K21)+SUM(K5:K9)</f>
        <v>0</v>
      </c>
    </row>
    <row r="74" spans="2:14" x14ac:dyDescent="0.25">
      <c r="K74" s="11">
        <f>K73*12</f>
        <v>0</v>
      </c>
    </row>
    <row r="75" spans="2:14" x14ac:dyDescent="0.25">
      <c r="K75" s="11">
        <f>K74*0.357</f>
        <v>0</v>
      </c>
    </row>
    <row r="76" spans="2:14" x14ac:dyDescent="0.25">
      <c r="B76" s="11" t="s">
        <v>328</v>
      </c>
    </row>
    <row r="77" spans="2:14" x14ac:dyDescent="0.25">
      <c r="B77" s="11" t="s">
        <v>330</v>
      </c>
    </row>
    <row r="78" spans="2:14" x14ac:dyDescent="0.25">
      <c r="B78" s="11" t="s">
        <v>339</v>
      </c>
    </row>
  </sheetData>
  <autoFilter ref="B4:O4">
    <sortState ref="B5:N47">
      <sortCondition ref="B4"/>
    </sortState>
  </autoFilter>
  <mergeCells count="4">
    <mergeCell ref="B47:C47"/>
    <mergeCell ref="B49:D49"/>
    <mergeCell ref="B1:O1"/>
    <mergeCell ref="I49:K49"/>
  </mergeCells>
  <conditionalFormatting sqref="AG35:AG42 Q20:Q34 Q43:Q45">
    <cfRule type="duplicateValues" dxfId="0" priority="5" stopIfTrue="1"/>
  </conditionalFormatting>
  <printOptions horizontalCentered="1"/>
  <pageMargins left="0.70866141732283472" right="0.11811023622047245" top="0.28000000000000003" bottom="0.19685039370078741" header="0.2" footer="0.31496062992125984"/>
  <pageSetup paperSize="9" scale="4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60"/>
  <sheetViews>
    <sheetView view="pageBreakPreview" topLeftCell="A34" zoomScale="85" zoomScaleNormal="85" zoomScaleSheetLayoutView="85" workbookViewId="0">
      <selection activeCell="I60" sqref="I60"/>
    </sheetView>
  </sheetViews>
  <sheetFormatPr defaultRowHeight="15" x14ac:dyDescent="0.25"/>
  <cols>
    <col min="1" max="1" width="16.42578125" style="11" customWidth="1"/>
    <col min="2" max="2" width="45.140625" style="11" customWidth="1"/>
    <col min="3" max="3" width="15.140625" style="11" customWidth="1"/>
    <col min="4" max="4" width="11.140625" style="11" customWidth="1"/>
    <col min="5" max="5" width="11" style="11" customWidth="1"/>
    <col min="6" max="6" width="12" style="11" customWidth="1"/>
    <col min="7" max="7" width="11.42578125" style="11" customWidth="1"/>
    <col min="8" max="8" width="11.85546875" style="11" customWidth="1"/>
    <col min="9" max="9" width="12.5703125" style="11" customWidth="1"/>
    <col min="10" max="10" width="12.28515625" style="11" customWidth="1"/>
    <col min="11" max="11" width="11.85546875" style="11" customWidth="1"/>
    <col min="12" max="12" width="11.42578125" style="11" customWidth="1"/>
    <col min="13" max="14" width="11.7109375" style="11" customWidth="1"/>
    <col min="15" max="15" width="12" style="11" customWidth="1"/>
    <col min="16" max="16" width="12.140625" style="11" customWidth="1"/>
    <col min="17" max="17" width="13.7109375" style="3" customWidth="1"/>
    <col min="18" max="18" width="16.85546875" style="3" customWidth="1"/>
    <col min="19" max="19" width="15.28515625" style="11" customWidth="1"/>
    <col min="20" max="16384" width="9.140625" style="11"/>
  </cols>
  <sheetData>
    <row r="1" spans="1:19" ht="18.75" x14ac:dyDescent="0.25">
      <c r="A1" s="350" t="s">
        <v>415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</row>
    <row r="3" spans="1:19" ht="63.75" x14ac:dyDescent="0.25">
      <c r="A3" s="236" t="s">
        <v>229</v>
      </c>
      <c r="B3" s="237" t="s">
        <v>230</v>
      </c>
      <c r="C3" s="236" t="s">
        <v>416</v>
      </c>
      <c r="D3" s="236" t="s">
        <v>398</v>
      </c>
      <c r="E3" s="236" t="s">
        <v>417</v>
      </c>
      <c r="F3" s="236" t="s">
        <v>418</v>
      </c>
      <c r="G3" s="236" t="s">
        <v>419</v>
      </c>
      <c r="H3" s="236" t="s">
        <v>420</v>
      </c>
      <c r="I3" s="236" t="s">
        <v>421</v>
      </c>
      <c r="J3" s="236" t="s">
        <v>422</v>
      </c>
      <c r="K3" s="236" t="s">
        <v>423</v>
      </c>
      <c r="L3" s="236" t="s">
        <v>424</v>
      </c>
      <c r="M3" s="236" t="s">
        <v>425</v>
      </c>
      <c r="N3" s="236" t="s">
        <v>426</v>
      </c>
      <c r="O3" s="236" t="s">
        <v>427</v>
      </c>
      <c r="P3" s="236" t="s">
        <v>428</v>
      </c>
      <c r="Q3" s="238" t="s">
        <v>271</v>
      </c>
      <c r="R3" s="239" t="s">
        <v>446</v>
      </c>
      <c r="S3" s="41" t="s">
        <v>59</v>
      </c>
    </row>
    <row r="4" spans="1:19" x14ac:dyDescent="0.25">
      <c r="A4" s="240" t="s">
        <v>274</v>
      </c>
      <c r="B4" s="241" t="s">
        <v>273</v>
      </c>
      <c r="C4" s="242">
        <f>SUMIFS('амортизация на 20'!$J$5:$J$45,'амортизация на 20'!$B$5:$B$45,A4)</f>
        <v>171610</v>
      </c>
      <c r="D4" s="274">
        <f>SUMIFS('амортизация на 20'!$M$5:$M$45,'амортизация на 20'!$B$5:$B$45,A4)</f>
        <v>17161.02</v>
      </c>
      <c r="E4" s="243">
        <f>C4-D4</f>
        <v>154448.98000000001</v>
      </c>
      <c r="F4" s="242">
        <f t="shared" ref="F4:F22" si="0">E4-$D4</f>
        <v>137287.96000000002</v>
      </c>
      <c r="G4" s="242">
        <f t="shared" ref="G4:N4" si="1">F4-$D4</f>
        <v>120126.94000000002</v>
      </c>
      <c r="H4" s="242">
        <f t="shared" si="1"/>
        <v>102965.92000000001</v>
      </c>
      <c r="I4" s="242">
        <f t="shared" si="1"/>
        <v>85804.900000000009</v>
      </c>
      <c r="J4" s="242">
        <f t="shared" si="1"/>
        <v>68643.88</v>
      </c>
      <c r="K4" s="242">
        <f t="shared" si="1"/>
        <v>51482.86</v>
      </c>
      <c r="L4" s="242">
        <f t="shared" si="1"/>
        <v>34321.839999999997</v>
      </c>
      <c r="M4" s="242">
        <f t="shared" si="1"/>
        <v>17160.819999999996</v>
      </c>
      <c r="N4" s="242">
        <f t="shared" si="1"/>
        <v>-0.20000000000436557</v>
      </c>
      <c r="O4" s="242">
        <v>-0.20000000000436557</v>
      </c>
      <c r="P4" s="242">
        <v>-0.20000000000436557</v>
      </c>
      <c r="Q4" s="244">
        <f t="shared" ref="Q4:Q8" si="2">(SUM(E4:P4)+C4)/13</f>
        <v>72604.11538461539</v>
      </c>
      <c r="R4" s="245">
        <v>0</v>
      </c>
      <c r="S4" s="351" t="s">
        <v>272</v>
      </c>
    </row>
    <row r="5" spans="1:19" x14ac:dyDescent="0.25">
      <c r="A5" s="240" t="s">
        <v>277</v>
      </c>
      <c r="B5" s="241" t="s">
        <v>276</v>
      </c>
      <c r="C5" s="242">
        <f>SUMIFS('амортизация на 20'!$J$5:$J$45,'амортизация на 20'!$B$5:$B$45,A5)</f>
        <v>36285.5</v>
      </c>
      <c r="D5" s="274">
        <f>SUMIFS('амортизация на 20'!$M$5:$M$45,'амортизация на 20'!$B$5:$B$45,A5)</f>
        <v>3628.53</v>
      </c>
      <c r="E5" s="243">
        <f t="shared" ref="E5:E8" si="3">C5-D5</f>
        <v>32656.97</v>
      </c>
      <c r="F5" s="242">
        <f t="shared" si="0"/>
        <v>29028.440000000002</v>
      </c>
      <c r="G5" s="242">
        <f t="shared" ref="G5:N5" si="4">F5-$D5</f>
        <v>25399.910000000003</v>
      </c>
      <c r="H5" s="242">
        <f t="shared" si="4"/>
        <v>21771.380000000005</v>
      </c>
      <c r="I5" s="242">
        <f t="shared" si="4"/>
        <v>18142.850000000006</v>
      </c>
      <c r="J5" s="242">
        <f t="shared" si="4"/>
        <v>14514.320000000005</v>
      </c>
      <c r="K5" s="242">
        <f t="shared" si="4"/>
        <v>10885.790000000005</v>
      </c>
      <c r="L5" s="242">
        <f t="shared" si="4"/>
        <v>7257.2600000000039</v>
      </c>
      <c r="M5" s="242">
        <f t="shared" si="4"/>
        <v>3628.7300000000037</v>
      </c>
      <c r="N5" s="242">
        <f t="shared" si="4"/>
        <v>0.20000000000345608</v>
      </c>
      <c r="O5" s="242">
        <v>0.20000000000345608</v>
      </c>
      <c r="P5" s="242">
        <v>0.20000000000345608</v>
      </c>
      <c r="Q5" s="244">
        <f t="shared" si="2"/>
        <v>15351.673076923083</v>
      </c>
      <c r="R5" s="245">
        <v>0</v>
      </c>
      <c r="S5" s="351"/>
    </row>
    <row r="6" spans="1:19" x14ac:dyDescent="0.25">
      <c r="A6" s="240" t="s">
        <v>279</v>
      </c>
      <c r="B6" s="241" t="s">
        <v>278</v>
      </c>
      <c r="C6" s="242">
        <f>SUMIFS('амортизация на 20'!$J$5:$J$45,'амортизация на 20'!$B$5:$B$45,A6)</f>
        <v>15254</v>
      </c>
      <c r="D6" s="274">
        <f>SUMIFS('амортизация на 20'!$M$5:$M$45,'амортизация на 20'!$B$5:$B$45,A6)</f>
        <v>1525.42</v>
      </c>
      <c r="E6" s="243">
        <f t="shared" si="3"/>
        <v>13728.58</v>
      </c>
      <c r="F6" s="242">
        <f t="shared" si="0"/>
        <v>12203.16</v>
      </c>
      <c r="G6" s="242">
        <f t="shared" ref="G6:N6" si="5">F6-$D6</f>
        <v>10677.74</v>
      </c>
      <c r="H6" s="242">
        <f t="shared" si="5"/>
        <v>9152.32</v>
      </c>
      <c r="I6" s="242">
        <f t="shared" si="5"/>
        <v>7626.9</v>
      </c>
      <c r="J6" s="242">
        <f t="shared" si="5"/>
        <v>6101.48</v>
      </c>
      <c r="K6" s="242">
        <f t="shared" si="5"/>
        <v>4576.0599999999995</v>
      </c>
      <c r="L6" s="242">
        <f t="shared" si="5"/>
        <v>3050.6399999999994</v>
      </c>
      <c r="M6" s="242">
        <f t="shared" si="5"/>
        <v>1525.2199999999993</v>
      </c>
      <c r="N6" s="242">
        <f t="shared" si="5"/>
        <v>-0.2000000000007276</v>
      </c>
      <c r="O6" s="242">
        <v>-0.2000000000007276</v>
      </c>
      <c r="P6" s="242">
        <v>-0.2000000000007276</v>
      </c>
      <c r="Q6" s="244">
        <f t="shared" si="2"/>
        <v>6453.5</v>
      </c>
      <c r="R6" s="245">
        <v>0</v>
      </c>
      <c r="S6" s="351"/>
    </row>
    <row r="7" spans="1:19" x14ac:dyDescent="0.25">
      <c r="A7" s="240" t="s">
        <v>281</v>
      </c>
      <c r="B7" s="241" t="s">
        <v>280</v>
      </c>
      <c r="C7" s="242">
        <f>SUMIFS('амортизация на 20'!$J$5:$J$45,'амортизация на 20'!$B$5:$B$45,A7)</f>
        <v>22316.5</v>
      </c>
      <c r="D7" s="274">
        <f>SUMIFS('амортизация на 20'!$M$5:$M$45,'амортизация на 20'!$B$5:$B$45,A7)</f>
        <v>2231.63</v>
      </c>
      <c r="E7" s="243">
        <f t="shared" si="3"/>
        <v>20084.87</v>
      </c>
      <c r="F7" s="242">
        <f t="shared" si="0"/>
        <v>17853.239999999998</v>
      </c>
      <c r="G7" s="242">
        <f t="shared" ref="G7:N7" si="6">F7-$D7</f>
        <v>15621.609999999997</v>
      </c>
      <c r="H7" s="242">
        <f t="shared" si="6"/>
        <v>13389.979999999996</v>
      </c>
      <c r="I7" s="242">
        <f t="shared" si="6"/>
        <v>11158.349999999995</v>
      </c>
      <c r="J7" s="242">
        <f t="shared" si="6"/>
        <v>8926.7199999999939</v>
      </c>
      <c r="K7" s="242">
        <f t="shared" si="6"/>
        <v>6695.0899999999938</v>
      </c>
      <c r="L7" s="242">
        <f t="shared" si="6"/>
        <v>4463.4599999999937</v>
      </c>
      <c r="M7" s="242">
        <f t="shared" si="6"/>
        <v>2231.8299999999936</v>
      </c>
      <c r="N7" s="242">
        <f t="shared" si="6"/>
        <v>0.19999999999345164</v>
      </c>
      <c r="O7" s="242">
        <v>0.19999999999345164</v>
      </c>
      <c r="P7" s="242">
        <v>0.19999999999345164</v>
      </c>
      <c r="Q7" s="244">
        <f t="shared" si="2"/>
        <v>9441.7115384615354</v>
      </c>
      <c r="R7" s="245">
        <v>0</v>
      </c>
      <c r="S7" s="351"/>
    </row>
    <row r="8" spans="1:19" ht="25.5" x14ac:dyDescent="0.25">
      <c r="A8" s="240" t="s">
        <v>283</v>
      </c>
      <c r="B8" s="241" t="s">
        <v>282</v>
      </c>
      <c r="C8" s="242">
        <f>SUMIFS('амортизация на 20'!$J$5:$J$45,'амортизация на 20'!$B$5:$B$45,A8)</f>
        <v>21542.000000000015</v>
      </c>
      <c r="D8" s="274">
        <f>SUMIFS('амортизация на 20'!$M$5:$M$45,'амортизация на 20'!$B$5:$B$45,A8)</f>
        <v>2154.1799999999998</v>
      </c>
      <c r="E8" s="243">
        <f t="shared" si="3"/>
        <v>19387.820000000014</v>
      </c>
      <c r="F8" s="242">
        <f t="shared" si="0"/>
        <v>17233.640000000014</v>
      </c>
      <c r="G8" s="242">
        <f t="shared" ref="G8:N8" si="7">F8-$D8</f>
        <v>15079.460000000014</v>
      </c>
      <c r="H8" s="242">
        <f t="shared" si="7"/>
        <v>12925.280000000013</v>
      </c>
      <c r="I8" s="242">
        <f t="shared" si="7"/>
        <v>10771.100000000013</v>
      </c>
      <c r="J8" s="242">
        <f t="shared" si="7"/>
        <v>8616.9200000000128</v>
      </c>
      <c r="K8" s="242">
        <f t="shared" si="7"/>
        <v>6462.7400000000125</v>
      </c>
      <c r="L8" s="242">
        <f t="shared" si="7"/>
        <v>4308.5600000000122</v>
      </c>
      <c r="M8" s="242">
        <f t="shared" si="7"/>
        <v>2154.3800000000124</v>
      </c>
      <c r="N8" s="242">
        <f t="shared" si="7"/>
        <v>0.20000000001255103</v>
      </c>
      <c r="O8" s="242">
        <v>0.20000000001255103</v>
      </c>
      <c r="P8" s="242">
        <v>0.20000000001255103</v>
      </c>
      <c r="Q8" s="244">
        <f t="shared" si="2"/>
        <v>9114.0384615384755</v>
      </c>
      <c r="R8" s="246">
        <f t="shared" ref="R8" si="8">Q8*0.022</f>
        <v>200.50884615384646</v>
      </c>
      <c r="S8" s="351"/>
    </row>
    <row r="9" spans="1:19" ht="15" customHeight="1" x14ac:dyDescent="0.25">
      <c r="A9" s="240" t="s">
        <v>233</v>
      </c>
      <c r="B9" s="40" t="s">
        <v>234</v>
      </c>
      <c r="C9" s="242">
        <f>SUMIFS('амортизация на 20'!$J$5:$J$45,'амортизация на 20'!$B$5:$B$45,A9)</f>
        <v>0</v>
      </c>
      <c r="D9" s="274">
        <f>SUMIFS('амортизация на 20'!$M$5:$M$45,'амортизация на 20'!$B$5:$B$45,A9)</f>
        <v>0</v>
      </c>
      <c r="E9" s="242">
        <f>C9-$D$9</f>
        <v>0</v>
      </c>
      <c r="F9" s="242">
        <f t="shared" si="0"/>
        <v>0</v>
      </c>
      <c r="G9" s="242">
        <f t="shared" ref="G9:P9" si="9">F9-$D9</f>
        <v>0</v>
      </c>
      <c r="H9" s="242">
        <f t="shared" si="9"/>
        <v>0</v>
      </c>
      <c r="I9" s="242">
        <f t="shared" si="9"/>
        <v>0</v>
      </c>
      <c r="J9" s="242">
        <f t="shared" si="9"/>
        <v>0</v>
      </c>
      <c r="K9" s="242">
        <f t="shared" si="9"/>
        <v>0</v>
      </c>
      <c r="L9" s="242">
        <f t="shared" si="9"/>
        <v>0</v>
      </c>
      <c r="M9" s="242">
        <f t="shared" si="9"/>
        <v>0</v>
      </c>
      <c r="N9" s="242">
        <f t="shared" si="9"/>
        <v>0</v>
      </c>
      <c r="O9" s="242">
        <f t="shared" si="9"/>
        <v>0</v>
      </c>
      <c r="P9" s="242">
        <f t="shared" si="9"/>
        <v>0</v>
      </c>
      <c r="Q9" s="244">
        <f>(SUM(E9:P9)+C9)/13</f>
        <v>0</v>
      </c>
      <c r="R9" s="244">
        <f>Q9*0.022</f>
        <v>0</v>
      </c>
      <c r="S9" s="351"/>
    </row>
    <row r="10" spans="1:19" x14ac:dyDescent="0.25">
      <c r="A10" s="240" t="s">
        <v>236</v>
      </c>
      <c r="B10" s="40" t="s">
        <v>234</v>
      </c>
      <c r="C10" s="242">
        <f>SUMIFS('амортизация на 20'!$J$5:$J$45,'амортизация на 20'!$B$5:$B$45,A10)</f>
        <v>0</v>
      </c>
      <c r="D10" s="274">
        <f>SUMIFS('амортизация на 20'!$M$5:$M$45,'амортизация на 20'!$B$5:$B$45,A10)</f>
        <v>0</v>
      </c>
      <c r="E10" s="242">
        <f>C10-$D$10</f>
        <v>0</v>
      </c>
      <c r="F10" s="242">
        <f t="shared" si="0"/>
        <v>0</v>
      </c>
      <c r="G10" s="242">
        <f t="shared" ref="G10:P10" si="10">F10-$D10</f>
        <v>0</v>
      </c>
      <c r="H10" s="242">
        <f t="shared" si="10"/>
        <v>0</v>
      </c>
      <c r="I10" s="242">
        <f t="shared" si="10"/>
        <v>0</v>
      </c>
      <c r="J10" s="242">
        <f t="shared" si="10"/>
        <v>0</v>
      </c>
      <c r="K10" s="242">
        <f t="shared" si="10"/>
        <v>0</v>
      </c>
      <c r="L10" s="242">
        <f t="shared" si="10"/>
        <v>0</v>
      </c>
      <c r="M10" s="242">
        <f t="shared" si="10"/>
        <v>0</v>
      </c>
      <c r="N10" s="242">
        <f t="shared" si="10"/>
        <v>0</v>
      </c>
      <c r="O10" s="242">
        <f t="shared" si="10"/>
        <v>0</v>
      </c>
      <c r="P10" s="242">
        <f t="shared" si="10"/>
        <v>0</v>
      </c>
      <c r="Q10" s="244">
        <f t="shared" ref="Q10:Q21" si="11">(SUM(E10:P10)+C10)/13</f>
        <v>0</v>
      </c>
      <c r="R10" s="244">
        <f t="shared" ref="R10:R42" si="12">Q10*0.022</f>
        <v>0</v>
      </c>
      <c r="S10" s="351"/>
    </row>
    <row r="11" spans="1:19" x14ac:dyDescent="0.25">
      <c r="A11" s="240" t="s">
        <v>237</v>
      </c>
      <c r="B11" s="40" t="s">
        <v>234</v>
      </c>
      <c r="C11" s="242">
        <f>SUMIFS('амортизация на 20'!$J$5:$J$45,'амортизация на 20'!$B$5:$B$45,A11)</f>
        <v>0</v>
      </c>
      <c r="D11" s="274">
        <f>SUMIFS('амортизация на 20'!$M$5:$M$45,'амортизация на 20'!$B$5:$B$45,A11)</f>
        <v>0</v>
      </c>
      <c r="E11" s="242">
        <f>C11-$D$11</f>
        <v>0</v>
      </c>
      <c r="F11" s="242">
        <f t="shared" si="0"/>
        <v>0</v>
      </c>
      <c r="G11" s="242">
        <f t="shared" ref="G11:P11" si="13">F11-$D11</f>
        <v>0</v>
      </c>
      <c r="H11" s="242">
        <f t="shared" si="13"/>
        <v>0</v>
      </c>
      <c r="I11" s="242">
        <f t="shared" si="13"/>
        <v>0</v>
      </c>
      <c r="J11" s="242">
        <f t="shared" si="13"/>
        <v>0</v>
      </c>
      <c r="K11" s="242">
        <f t="shared" si="13"/>
        <v>0</v>
      </c>
      <c r="L11" s="242">
        <f t="shared" si="13"/>
        <v>0</v>
      </c>
      <c r="M11" s="242">
        <f t="shared" si="13"/>
        <v>0</v>
      </c>
      <c r="N11" s="242">
        <f t="shared" si="13"/>
        <v>0</v>
      </c>
      <c r="O11" s="242">
        <f t="shared" si="13"/>
        <v>0</v>
      </c>
      <c r="P11" s="242">
        <f t="shared" si="13"/>
        <v>0</v>
      </c>
      <c r="Q11" s="244">
        <f t="shared" si="11"/>
        <v>0</v>
      </c>
      <c r="R11" s="244">
        <f t="shared" si="12"/>
        <v>0</v>
      </c>
      <c r="S11" s="351"/>
    </row>
    <row r="12" spans="1:19" x14ac:dyDescent="0.25">
      <c r="A12" s="240" t="s">
        <v>238</v>
      </c>
      <c r="B12" s="40" t="s">
        <v>234</v>
      </c>
      <c r="C12" s="242">
        <f>SUMIFS('амортизация на 20'!$J$5:$J$45,'амортизация на 20'!$B$5:$B$45,A12)</f>
        <v>0</v>
      </c>
      <c r="D12" s="274">
        <f>SUMIFS('амортизация на 20'!$M$5:$M$45,'амортизация на 20'!$B$5:$B$45,A12)</f>
        <v>0</v>
      </c>
      <c r="E12" s="242">
        <f>C12-$D$12</f>
        <v>0</v>
      </c>
      <c r="F12" s="242">
        <f t="shared" si="0"/>
        <v>0</v>
      </c>
      <c r="G12" s="242">
        <f t="shared" ref="G12:P12" si="14">F12-$D12</f>
        <v>0</v>
      </c>
      <c r="H12" s="242">
        <f t="shared" si="14"/>
        <v>0</v>
      </c>
      <c r="I12" s="242">
        <f t="shared" si="14"/>
        <v>0</v>
      </c>
      <c r="J12" s="242">
        <f t="shared" si="14"/>
        <v>0</v>
      </c>
      <c r="K12" s="242">
        <f t="shared" si="14"/>
        <v>0</v>
      </c>
      <c r="L12" s="242">
        <f t="shared" si="14"/>
        <v>0</v>
      </c>
      <c r="M12" s="242">
        <f t="shared" si="14"/>
        <v>0</v>
      </c>
      <c r="N12" s="242">
        <f t="shared" si="14"/>
        <v>0</v>
      </c>
      <c r="O12" s="242">
        <f t="shared" si="14"/>
        <v>0</v>
      </c>
      <c r="P12" s="242">
        <f t="shared" si="14"/>
        <v>0</v>
      </c>
      <c r="Q12" s="244">
        <f t="shared" si="11"/>
        <v>0</v>
      </c>
      <c r="R12" s="244">
        <f t="shared" si="12"/>
        <v>0</v>
      </c>
      <c r="S12" s="351"/>
    </row>
    <row r="13" spans="1:19" x14ac:dyDescent="0.25">
      <c r="A13" s="240" t="s">
        <v>239</v>
      </c>
      <c r="B13" s="247" t="s">
        <v>240</v>
      </c>
      <c r="C13" s="242">
        <f>SUMIFS('амортизация на 20'!$J$5:$J$45,'амортизация на 20'!$B$5:$B$45,A13)</f>
        <v>0</v>
      </c>
      <c r="D13" s="274">
        <f>SUMIFS('амортизация на 20'!$M$5:$M$45,'амортизация на 20'!$B$5:$B$45,A13)</f>
        <v>0</v>
      </c>
      <c r="E13" s="242">
        <f>C13-$D$13</f>
        <v>0</v>
      </c>
      <c r="F13" s="242">
        <f t="shared" si="0"/>
        <v>0</v>
      </c>
      <c r="G13" s="242">
        <f t="shared" ref="G13:P13" si="15">F13-$D13</f>
        <v>0</v>
      </c>
      <c r="H13" s="242">
        <f t="shared" si="15"/>
        <v>0</v>
      </c>
      <c r="I13" s="242">
        <f t="shared" si="15"/>
        <v>0</v>
      </c>
      <c r="J13" s="242">
        <f t="shared" si="15"/>
        <v>0</v>
      </c>
      <c r="K13" s="242">
        <f t="shared" si="15"/>
        <v>0</v>
      </c>
      <c r="L13" s="242">
        <f t="shared" si="15"/>
        <v>0</v>
      </c>
      <c r="M13" s="242">
        <f t="shared" si="15"/>
        <v>0</v>
      </c>
      <c r="N13" s="242">
        <f t="shared" si="15"/>
        <v>0</v>
      </c>
      <c r="O13" s="242">
        <f t="shared" si="15"/>
        <v>0</v>
      </c>
      <c r="P13" s="242">
        <f t="shared" si="15"/>
        <v>0</v>
      </c>
      <c r="Q13" s="244">
        <f t="shared" si="11"/>
        <v>0</v>
      </c>
      <c r="R13" s="244">
        <f t="shared" si="12"/>
        <v>0</v>
      </c>
      <c r="S13" s="351"/>
    </row>
    <row r="14" spans="1:19" x14ac:dyDescent="0.25">
      <c r="A14" s="240" t="s">
        <v>241</v>
      </c>
      <c r="B14" s="247" t="s">
        <v>240</v>
      </c>
      <c r="C14" s="242">
        <f>SUMIFS('амортизация на 20'!$J$5:$J$45,'амортизация на 20'!$B$5:$B$45,A14)</f>
        <v>0</v>
      </c>
      <c r="D14" s="274">
        <f>SUMIFS('амортизация на 20'!$M$5:$M$45,'амортизация на 20'!$B$5:$B$45,A14)</f>
        <v>0</v>
      </c>
      <c r="E14" s="242">
        <f>C14-$D$14</f>
        <v>0</v>
      </c>
      <c r="F14" s="242">
        <f t="shared" si="0"/>
        <v>0</v>
      </c>
      <c r="G14" s="242">
        <f t="shared" ref="G14:P14" si="16">F14-$D14</f>
        <v>0</v>
      </c>
      <c r="H14" s="242">
        <f t="shared" si="16"/>
        <v>0</v>
      </c>
      <c r="I14" s="242">
        <f t="shared" si="16"/>
        <v>0</v>
      </c>
      <c r="J14" s="242">
        <f t="shared" si="16"/>
        <v>0</v>
      </c>
      <c r="K14" s="242">
        <f t="shared" si="16"/>
        <v>0</v>
      </c>
      <c r="L14" s="242">
        <f t="shared" si="16"/>
        <v>0</v>
      </c>
      <c r="M14" s="242">
        <f t="shared" si="16"/>
        <v>0</v>
      </c>
      <c r="N14" s="242">
        <f t="shared" si="16"/>
        <v>0</v>
      </c>
      <c r="O14" s="242">
        <f t="shared" si="16"/>
        <v>0</v>
      </c>
      <c r="P14" s="242">
        <f t="shared" si="16"/>
        <v>0</v>
      </c>
      <c r="Q14" s="244">
        <f t="shared" si="11"/>
        <v>0</v>
      </c>
      <c r="R14" s="244">
        <f t="shared" si="12"/>
        <v>0</v>
      </c>
      <c r="S14" s="351"/>
    </row>
    <row r="15" spans="1:19" x14ac:dyDescent="0.25">
      <c r="A15" s="240" t="s">
        <v>242</v>
      </c>
      <c r="B15" s="247" t="s">
        <v>240</v>
      </c>
      <c r="C15" s="242">
        <f>SUMIFS('амортизация на 20'!$J$5:$J$45,'амортизация на 20'!$B$5:$B$45,A15)</f>
        <v>0</v>
      </c>
      <c r="D15" s="274">
        <f>SUMIFS('амортизация на 20'!$M$5:$M$45,'амортизация на 20'!$B$5:$B$45,A15)</f>
        <v>0</v>
      </c>
      <c r="E15" s="242">
        <f>C15-$D$15</f>
        <v>0</v>
      </c>
      <c r="F15" s="242">
        <f t="shared" si="0"/>
        <v>0</v>
      </c>
      <c r="G15" s="242">
        <f t="shared" ref="G15:P15" si="17">F15-$D15</f>
        <v>0</v>
      </c>
      <c r="H15" s="242">
        <f t="shared" si="17"/>
        <v>0</v>
      </c>
      <c r="I15" s="242">
        <f t="shared" si="17"/>
        <v>0</v>
      </c>
      <c r="J15" s="242">
        <f t="shared" si="17"/>
        <v>0</v>
      </c>
      <c r="K15" s="242">
        <f t="shared" si="17"/>
        <v>0</v>
      </c>
      <c r="L15" s="242">
        <f t="shared" si="17"/>
        <v>0</v>
      </c>
      <c r="M15" s="242">
        <f t="shared" si="17"/>
        <v>0</v>
      </c>
      <c r="N15" s="242">
        <f t="shared" si="17"/>
        <v>0</v>
      </c>
      <c r="O15" s="242">
        <f t="shared" si="17"/>
        <v>0</v>
      </c>
      <c r="P15" s="242">
        <f t="shared" si="17"/>
        <v>0</v>
      </c>
      <c r="Q15" s="244">
        <f t="shared" si="11"/>
        <v>0</v>
      </c>
      <c r="R15" s="244">
        <f t="shared" si="12"/>
        <v>0</v>
      </c>
      <c r="S15" s="351"/>
    </row>
    <row r="16" spans="1:19" x14ac:dyDescent="0.25">
      <c r="A16" s="240" t="s">
        <v>243</v>
      </c>
      <c r="B16" s="247" t="s">
        <v>240</v>
      </c>
      <c r="C16" s="242">
        <f>SUMIFS('амортизация на 20'!$J$5:$J$45,'амортизация на 20'!$B$5:$B$45,A16)</f>
        <v>0</v>
      </c>
      <c r="D16" s="274">
        <f>SUMIFS('амортизация на 20'!$M$5:$M$45,'амортизация на 20'!$B$5:$B$45,A16)</f>
        <v>0</v>
      </c>
      <c r="E16" s="242">
        <f>C16-$D$16</f>
        <v>0</v>
      </c>
      <c r="F16" s="242">
        <f t="shared" si="0"/>
        <v>0</v>
      </c>
      <c r="G16" s="242">
        <f t="shared" ref="G16:P16" si="18">F16-$D16</f>
        <v>0</v>
      </c>
      <c r="H16" s="242">
        <f t="shared" si="18"/>
        <v>0</v>
      </c>
      <c r="I16" s="242">
        <f t="shared" si="18"/>
        <v>0</v>
      </c>
      <c r="J16" s="242">
        <f t="shared" si="18"/>
        <v>0</v>
      </c>
      <c r="K16" s="242">
        <f t="shared" si="18"/>
        <v>0</v>
      </c>
      <c r="L16" s="242">
        <f t="shared" si="18"/>
        <v>0</v>
      </c>
      <c r="M16" s="242">
        <f t="shared" si="18"/>
        <v>0</v>
      </c>
      <c r="N16" s="242">
        <f t="shared" si="18"/>
        <v>0</v>
      </c>
      <c r="O16" s="242">
        <f t="shared" si="18"/>
        <v>0</v>
      </c>
      <c r="P16" s="242">
        <f t="shared" si="18"/>
        <v>0</v>
      </c>
      <c r="Q16" s="244">
        <f t="shared" si="11"/>
        <v>0</v>
      </c>
      <c r="R16" s="244">
        <f t="shared" si="12"/>
        <v>0</v>
      </c>
      <c r="S16" s="351"/>
    </row>
    <row r="17" spans="1:19" ht="26.25" x14ac:dyDescent="0.25">
      <c r="A17" s="240" t="s">
        <v>244</v>
      </c>
      <c r="B17" s="247" t="s">
        <v>245</v>
      </c>
      <c r="C17" s="242">
        <f>SUMIFS('амортизация на 20'!$J$5:$J$45,'амортизация на 20'!$B$5:$B$45,A17)</f>
        <v>0</v>
      </c>
      <c r="D17" s="274">
        <f>SUMIFS('амортизация на 20'!$M$5:$M$45,'амортизация на 20'!$B$5:$B$45,A17)</f>
        <v>0</v>
      </c>
      <c r="E17" s="242">
        <f>C17-$D$17</f>
        <v>0</v>
      </c>
      <c r="F17" s="242">
        <f t="shared" si="0"/>
        <v>0</v>
      </c>
      <c r="G17" s="242">
        <f t="shared" ref="G17:P17" si="19">F17-$D17</f>
        <v>0</v>
      </c>
      <c r="H17" s="242">
        <f t="shared" si="19"/>
        <v>0</v>
      </c>
      <c r="I17" s="242">
        <f t="shared" si="19"/>
        <v>0</v>
      </c>
      <c r="J17" s="242">
        <f t="shared" si="19"/>
        <v>0</v>
      </c>
      <c r="K17" s="242">
        <f t="shared" si="19"/>
        <v>0</v>
      </c>
      <c r="L17" s="242">
        <f t="shared" si="19"/>
        <v>0</v>
      </c>
      <c r="M17" s="242">
        <f t="shared" si="19"/>
        <v>0</v>
      </c>
      <c r="N17" s="242">
        <f t="shared" si="19"/>
        <v>0</v>
      </c>
      <c r="O17" s="242">
        <f t="shared" si="19"/>
        <v>0</v>
      </c>
      <c r="P17" s="242">
        <f t="shared" si="19"/>
        <v>0</v>
      </c>
      <c r="Q17" s="244">
        <f t="shared" si="11"/>
        <v>0</v>
      </c>
      <c r="R17" s="244">
        <f t="shared" si="12"/>
        <v>0</v>
      </c>
      <c r="S17" s="351"/>
    </row>
    <row r="18" spans="1:19" ht="26.25" x14ac:dyDescent="0.25">
      <c r="A18" s="240" t="s">
        <v>247</v>
      </c>
      <c r="B18" s="247" t="s">
        <v>248</v>
      </c>
      <c r="C18" s="242">
        <f>SUMIFS('амортизация на 20'!$J$5:$J$45,'амортизация на 20'!$B$5:$B$45,A18)</f>
        <v>0</v>
      </c>
      <c r="D18" s="274">
        <f>SUMIFS('амортизация на 20'!$M$5:$M$45,'амортизация на 20'!$B$5:$B$45,A18)</f>
        <v>0</v>
      </c>
      <c r="E18" s="242">
        <f>C18-$D$18</f>
        <v>0</v>
      </c>
      <c r="F18" s="242">
        <f t="shared" si="0"/>
        <v>0</v>
      </c>
      <c r="G18" s="242">
        <f t="shared" ref="G18:P18" si="20">F18-$D18</f>
        <v>0</v>
      </c>
      <c r="H18" s="242">
        <f t="shared" si="20"/>
        <v>0</v>
      </c>
      <c r="I18" s="242">
        <f t="shared" si="20"/>
        <v>0</v>
      </c>
      <c r="J18" s="242">
        <f t="shared" si="20"/>
        <v>0</v>
      </c>
      <c r="K18" s="242">
        <f t="shared" si="20"/>
        <v>0</v>
      </c>
      <c r="L18" s="242">
        <f t="shared" si="20"/>
        <v>0</v>
      </c>
      <c r="M18" s="242">
        <f t="shared" si="20"/>
        <v>0</v>
      </c>
      <c r="N18" s="242">
        <f t="shared" si="20"/>
        <v>0</v>
      </c>
      <c r="O18" s="242">
        <f t="shared" si="20"/>
        <v>0</v>
      </c>
      <c r="P18" s="242">
        <f t="shared" si="20"/>
        <v>0</v>
      </c>
      <c r="Q18" s="244">
        <f t="shared" si="11"/>
        <v>0</v>
      </c>
      <c r="R18" s="244">
        <f t="shared" si="12"/>
        <v>0</v>
      </c>
      <c r="S18" s="351"/>
    </row>
    <row r="19" spans="1:19" x14ac:dyDescent="0.25">
      <c r="A19" s="240" t="s">
        <v>249</v>
      </c>
      <c r="B19" s="247" t="s">
        <v>250</v>
      </c>
      <c r="C19" s="242">
        <f>SUMIFS('амортизация на 20'!$J$5:$J$45,'амортизация на 20'!$B$5:$B$45,A19)</f>
        <v>0</v>
      </c>
      <c r="D19" s="274">
        <f>SUMIFS('амортизация на 20'!$M$5:$M$45,'амортизация на 20'!$B$5:$B$45,A19)</f>
        <v>0</v>
      </c>
      <c r="E19" s="242">
        <f>C19-$D$19</f>
        <v>0</v>
      </c>
      <c r="F19" s="242">
        <f t="shared" si="0"/>
        <v>0</v>
      </c>
      <c r="G19" s="242">
        <f t="shared" ref="G19:P19" si="21">F19-$D19</f>
        <v>0</v>
      </c>
      <c r="H19" s="242">
        <f t="shared" si="21"/>
        <v>0</v>
      </c>
      <c r="I19" s="242">
        <f t="shared" si="21"/>
        <v>0</v>
      </c>
      <c r="J19" s="242">
        <f t="shared" si="21"/>
        <v>0</v>
      </c>
      <c r="K19" s="242">
        <f t="shared" si="21"/>
        <v>0</v>
      </c>
      <c r="L19" s="242">
        <f t="shared" si="21"/>
        <v>0</v>
      </c>
      <c r="M19" s="242">
        <f t="shared" si="21"/>
        <v>0</v>
      </c>
      <c r="N19" s="242">
        <f t="shared" si="21"/>
        <v>0</v>
      </c>
      <c r="O19" s="242">
        <f t="shared" si="21"/>
        <v>0</v>
      </c>
      <c r="P19" s="242">
        <f t="shared" si="21"/>
        <v>0</v>
      </c>
      <c r="Q19" s="244">
        <f t="shared" si="11"/>
        <v>0</v>
      </c>
      <c r="R19" s="244">
        <f t="shared" si="12"/>
        <v>0</v>
      </c>
      <c r="S19" s="351"/>
    </row>
    <row r="20" spans="1:19" ht="26.25" x14ac:dyDescent="0.25">
      <c r="A20" s="240" t="s">
        <v>252</v>
      </c>
      <c r="B20" s="247" t="s">
        <v>253</v>
      </c>
      <c r="C20" s="242">
        <f>SUMIFS('амортизация на 20'!$J$5:$J$45,'амортизация на 20'!$B$5:$B$45,A20)</f>
        <v>0</v>
      </c>
      <c r="D20" s="274">
        <f>SUMIFS('амортизация на 20'!$M$5:$M$45,'амортизация на 20'!$B$5:$B$45,A20)</f>
        <v>0</v>
      </c>
      <c r="E20" s="242">
        <f>C20-$D$20</f>
        <v>0</v>
      </c>
      <c r="F20" s="242">
        <f t="shared" si="0"/>
        <v>0</v>
      </c>
      <c r="G20" s="242">
        <f t="shared" ref="G20:P20" si="22">F20-$D20</f>
        <v>0</v>
      </c>
      <c r="H20" s="242">
        <f t="shared" si="22"/>
        <v>0</v>
      </c>
      <c r="I20" s="242">
        <f t="shared" si="22"/>
        <v>0</v>
      </c>
      <c r="J20" s="242">
        <f t="shared" si="22"/>
        <v>0</v>
      </c>
      <c r="K20" s="242">
        <f t="shared" si="22"/>
        <v>0</v>
      </c>
      <c r="L20" s="242">
        <f t="shared" si="22"/>
        <v>0</v>
      </c>
      <c r="M20" s="242">
        <f t="shared" si="22"/>
        <v>0</v>
      </c>
      <c r="N20" s="242">
        <f t="shared" si="22"/>
        <v>0</v>
      </c>
      <c r="O20" s="242">
        <f t="shared" si="22"/>
        <v>0</v>
      </c>
      <c r="P20" s="242">
        <f t="shared" si="22"/>
        <v>0</v>
      </c>
      <c r="Q20" s="244">
        <f t="shared" si="11"/>
        <v>0</v>
      </c>
      <c r="R20" s="244">
        <f t="shared" si="12"/>
        <v>0</v>
      </c>
      <c r="S20" s="351"/>
    </row>
    <row r="21" spans="1:19" x14ac:dyDescent="0.25">
      <c r="A21" s="240" t="s">
        <v>258</v>
      </c>
      <c r="B21" s="248" t="s">
        <v>259</v>
      </c>
      <c r="C21" s="242">
        <f>SUMIFS('амортизация на 20'!$J$5:$J$45,'амортизация на 20'!$B$5:$B$45,A21)</f>
        <v>26249</v>
      </c>
      <c r="D21" s="274">
        <f>SUMIFS('амортизация на 20'!$M$5:$M$45,'амортизация на 20'!$B$5:$B$45,A21)</f>
        <v>819</v>
      </c>
      <c r="E21" s="242">
        <f>C21-D21</f>
        <v>25430</v>
      </c>
      <c r="F21" s="242">
        <f t="shared" si="0"/>
        <v>24611</v>
      </c>
      <c r="G21" s="242">
        <f t="shared" ref="G21:P21" si="23">F21-$D21</f>
        <v>23792</v>
      </c>
      <c r="H21" s="242">
        <f t="shared" si="23"/>
        <v>22973</v>
      </c>
      <c r="I21" s="242">
        <f t="shared" si="23"/>
        <v>22154</v>
      </c>
      <c r="J21" s="242">
        <f t="shared" si="23"/>
        <v>21335</v>
      </c>
      <c r="K21" s="242">
        <f t="shared" si="23"/>
        <v>20516</v>
      </c>
      <c r="L21" s="242">
        <f t="shared" si="23"/>
        <v>19697</v>
      </c>
      <c r="M21" s="242">
        <f t="shared" si="23"/>
        <v>18878</v>
      </c>
      <c r="N21" s="242">
        <f t="shared" si="23"/>
        <v>18059</v>
      </c>
      <c r="O21" s="242">
        <f t="shared" si="23"/>
        <v>17240</v>
      </c>
      <c r="P21" s="242">
        <f t="shared" si="23"/>
        <v>16421</v>
      </c>
      <c r="Q21" s="244">
        <f t="shared" si="11"/>
        <v>21335</v>
      </c>
      <c r="R21" s="244">
        <f t="shared" si="12"/>
        <v>469.36999999999995</v>
      </c>
      <c r="S21" s="351"/>
    </row>
    <row r="22" spans="1:19" ht="25.5" x14ac:dyDescent="0.25">
      <c r="A22" s="240" t="s">
        <v>264</v>
      </c>
      <c r="B22" s="248" t="s">
        <v>265</v>
      </c>
      <c r="C22" s="242">
        <f>SUMIFS('амортизация на 20'!$J$5:$J$45,'амортизация на 20'!$B$5:$B$45,A22)</f>
        <v>0</v>
      </c>
      <c r="D22" s="274">
        <f>SUMIFS('амортизация на 20'!$M$5:$M$45,'амортизация на 20'!$B$5:$B$45,A22)</f>
        <v>0</v>
      </c>
      <c r="E22" s="242">
        <f t="shared" ref="E22:E42" si="24">C22-D22</f>
        <v>0</v>
      </c>
      <c r="F22" s="242">
        <f t="shared" si="0"/>
        <v>0</v>
      </c>
      <c r="G22" s="242">
        <f t="shared" ref="G22:K22" si="25">F22-$D22</f>
        <v>0</v>
      </c>
      <c r="H22" s="242">
        <f t="shared" si="25"/>
        <v>0</v>
      </c>
      <c r="I22" s="242">
        <f t="shared" si="25"/>
        <v>0</v>
      </c>
      <c r="J22" s="242">
        <f t="shared" si="25"/>
        <v>0</v>
      </c>
      <c r="K22" s="242">
        <f t="shared" si="25"/>
        <v>0</v>
      </c>
      <c r="L22" s="242">
        <v>0</v>
      </c>
      <c r="M22" s="242">
        <v>0</v>
      </c>
      <c r="N22" s="242">
        <v>0</v>
      </c>
      <c r="O22" s="242">
        <v>0</v>
      </c>
      <c r="P22" s="242">
        <v>0</v>
      </c>
      <c r="Q22" s="244">
        <f>(SUM(E22:P22)+C22)/13</f>
        <v>0</v>
      </c>
      <c r="R22" s="244">
        <f t="shared" si="12"/>
        <v>0</v>
      </c>
      <c r="S22" s="351"/>
    </row>
    <row r="23" spans="1:19" ht="15.75" x14ac:dyDescent="0.25">
      <c r="A23" s="172" t="s">
        <v>362</v>
      </c>
      <c r="B23" s="181" t="s">
        <v>358</v>
      </c>
      <c r="C23" s="242">
        <f>SUMIFS('амортизация на 20'!$J$5:$J$45,'амортизация на 20'!$B$5:$B$45,A23)</f>
        <v>0</v>
      </c>
      <c r="D23" s="274">
        <f>SUMIFS('амортизация на 20'!$M$5:$M$45,'амортизация на 20'!$B$5:$B$45,A23)</f>
        <v>0</v>
      </c>
      <c r="E23" s="181">
        <f t="shared" si="24"/>
        <v>0</v>
      </c>
      <c r="F23" s="181">
        <f>E23-$D23</f>
        <v>0</v>
      </c>
      <c r="G23" s="181">
        <f t="shared" ref="G23:P23" si="26">F23-$D23</f>
        <v>0</v>
      </c>
      <c r="H23" s="181">
        <f t="shared" si="26"/>
        <v>0</v>
      </c>
      <c r="I23" s="181">
        <f t="shared" si="26"/>
        <v>0</v>
      </c>
      <c r="J23" s="181">
        <f t="shared" si="26"/>
        <v>0</v>
      </c>
      <c r="K23" s="181">
        <f t="shared" si="26"/>
        <v>0</v>
      </c>
      <c r="L23" s="181">
        <f t="shared" si="26"/>
        <v>0</v>
      </c>
      <c r="M23" s="181">
        <f t="shared" si="26"/>
        <v>0</v>
      </c>
      <c r="N23" s="181">
        <f t="shared" si="26"/>
        <v>0</v>
      </c>
      <c r="O23" s="181">
        <f t="shared" si="26"/>
        <v>0</v>
      </c>
      <c r="P23" s="181">
        <f t="shared" si="26"/>
        <v>0</v>
      </c>
      <c r="Q23" s="249">
        <f t="shared" ref="Q23:Q42" si="27">(SUM(E23:P23)+C23)/13</f>
        <v>0</v>
      </c>
      <c r="R23" s="249">
        <f t="shared" si="12"/>
        <v>0</v>
      </c>
      <c r="S23" s="351"/>
    </row>
    <row r="24" spans="1:19" ht="31.5" x14ac:dyDescent="0.25">
      <c r="A24" s="172" t="s">
        <v>323</v>
      </c>
      <c r="B24" s="181" t="s">
        <v>306</v>
      </c>
      <c r="C24" s="242">
        <f>SUMIFS('амортизация на 20'!$J$5:$J$45,'амортизация на 20'!$B$5:$B$45,A24)</f>
        <v>0</v>
      </c>
      <c r="D24" s="274">
        <f>SUMIFS('амортизация на 20'!$M$5:$M$45,'амортизация на 20'!$B$5:$B$45,A24)</f>
        <v>0</v>
      </c>
      <c r="E24" s="181">
        <f t="shared" si="24"/>
        <v>0</v>
      </c>
      <c r="F24" s="181">
        <f t="shared" ref="F24:P42" si="28">E24-$D24</f>
        <v>0</v>
      </c>
      <c r="G24" s="181">
        <f t="shared" si="28"/>
        <v>0</v>
      </c>
      <c r="H24" s="181">
        <f t="shared" si="28"/>
        <v>0</v>
      </c>
      <c r="I24" s="181">
        <f t="shared" si="28"/>
        <v>0</v>
      </c>
      <c r="J24" s="181">
        <f t="shared" si="28"/>
        <v>0</v>
      </c>
      <c r="K24" s="181">
        <f t="shared" si="28"/>
        <v>0</v>
      </c>
      <c r="L24" s="181">
        <f t="shared" si="28"/>
        <v>0</v>
      </c>
      <c r="M24" s="181">
        <f t="shared" si="28"/>
        <v>0</v>
      </c>
      <c r="N24" s="181">
        <f t="shared" si="28"/>
        <v>0</v>
      </c>
      <c r="O24" s="181">
        <f t="shared" si="28"/>
        <v>0</v>
      </c>
      <c r="P24" s="181">
        <f t="shared" si="28"/>
        <v>0</v>
      </c>
      <c r="Q24" s="249">
        <f t="shared" si="27"/>
        <v>0</v>
      </c>
      <c r="R24" s="249">
        <f t="shared" si="12"/>
        <v>0</v>
      </c>
      <c r="S24" s="351"/>
    </row>
    <row r="25" spans="1:19" ht="31.5" x14ac:dyDescent="0.25">
      <c r="A25" s="172" t="s">
        <v>324</v>
      </c>
      <c r="B25" s="181" t="s">
        <v>307</v>
      </c>
      <c r="C25" s="242">
        <f>SUMIFS('амортизация на 20'!$J$5:$J$45,'амортизация на 20'!$B$5:$B$45,A25)</f>
        <v>0</v>
      </c>
      <c r="D25" s="274">
        <f>SUMIFS('амортизация на 20'!$M$5:$M$45,'амортизация на 20'!$B$5:$B$45,A25)</f>
        <v>0</v>
      </c>
      <c r="E25" s="181">
        <f t="shared" si="24"/>
        <v>0</v>
      </c>
      <c r="F25" s="181">
        <f t="shared" si="28"/>
        <v>0</v>
      </c>
      <c r="G25" s="181">
        <f t="shared" si="28"/>
        <v>0</v>
      </c>
      <c r="H25" s="181">
        <f t="shared" si="28"/>
        <v>0</v>
      </c>
      <c r="I25" s="181">
        <f t="shared" si="28"/>
        <v>0</v>
      </c>
      <c r="J25" s="181">
        <f t="shared" si="28"/>
        <v>0</v>
      </c>
      <c r="K25" s="181">
        <f t="shared" si="28"/>
        <v>0</v>
      </c>
      <c r="L25" s="181">
        <f t="shared" si="28"/>
        <v>0</v>
      </c>
      <c r="M25" s="181">
        <f t="shared" si="28"/>
        <v>0</v>
      </c>
      <c r="N25" s="181">
        <f t="shared" si="28"/>
        <v>0</v>
      </c>
      <c r="O25" s="181">
        <f t="shared" si="28"/>
        <v>0</v>
      </c>
      <c r="P25" s="181">
        <f t="shared" si="28"/>
        <v>0</v>
      </c>
      <c r="Q25" s="249">
        <f t="shared" si="27"/>
        <v>0</v>
      </c>
      <c r="R25" s="249">
        <f t="shared" si="12"/>
        <v>0</v>
      </c>
      <c r="S25" s="351"/>
    </row>
    <row r="26" spans="1:19" ht="15.75" x14ac:dyDescent="0.25">
      <c r="A26" s="172" t="s">
        <v>325</v>
      </c>
      <c r="B26" s="181" t="s">
        <v>308</v>
      </c>
      <c r="C26" s="242">
        <f>SUMIFS('амортизация на 20'!$J$5:$J$45,'амортизация на 20'!$B$5:$B$45,A26)</f>
        <v>0</v>
      </c>
      <c r="D26" s="274">
        <f>SUMIFS('амортизация на 20'!$M$5:$M$45,'амортизация на 20'!$B$5:$B$45,A26)</f>
        <v>0</v>
      </c>
      <c r="E26" s="181">
        <f t="shared" si="24"/>
        <v>0</v>
      </c>
      <c r="F26" s="181">
        <f t="shared" si="28"/>
        <v>0</v>
      </c>
      <c r="G26" s="181">
        <f t="shared" si="28"/>
        <v>0</v>
      </c>
      <c r="H26" s="181">
        <f t="shared" si="28"/>
        <v>0</v>
      </c>
      <c r="I26" s="181">
        <f t="shared" si="28"/>
        <v>0</v>
      </c>
      <c r="J26" s="181">
        <f t="shared" si="28"/>
        <v>0</v>
      </c>
      <c r="K26" s="181">
        <f t="shared" si="28"/>
        <v>0</v>
      </c>
      <c r="L26" s="181">
        <f t="shared" si="28"/>
        <v>0</v>
      </c>
      <c r="M26" s="181">
        <f t="shared" si="28"/>
        <v>0</v>
      </c>
      <c r="N26" s="181">
        <f t="shared" si="28"/>
        <v>0</v>
      </c>
      <c r="O26" s="181">
        <f t="shared" si="28"/>
        <v>0</v>
      </c>
      <c r="P26" s="181">
        <f t="shared" si="28"/>
        <v>0</v>
      </c>
      <c r="Q26" s="249">
        <f t="shared" si="27"/>
        <v>0</v>
      </c>
      <c r="R26" s="249">
        <f t="shared" si="12"/>
        <v>0</v>
      </c>
      <c r="S26" s="351"/>
    </row>
    <row r="27" spans="1:19" ht="31.5" x14ac:dyDescent="0.25">
      <c r="A27" s="172" t="s">
        <v>326</v>
      </c>
      <c r="B27" s="181" t="s">
        <v>309</v>
      </c>
      <c r="C27" s="242">
        <f>SUMIFS('амортизация на 20'!$J$5:$J$45,'амортизация на 20'!$B$5:$B$45,A27)</f>
        <v>0</v>
      </c>
      <c r="D27" s="274">
        <f>SUMIFS('амортизация на 20'!$M$5:$M$45,'амортизация на 20'!$B$5:$B$45,A27)</f>
        <v>0</v>
      </c>
      <c r="E27" s="181">
        <f t="shared" si="24"/>
        <v>0</v>
      </c>
      <c r="F27" s="181">
        <f t="shared" si="28"/>
        <v>0</v>
      </c>
      <c r="G27" s="181">
        <f t="shared" si="28"/>
        <v>0</v>
      </c>
      <c r="H27" s="181">
        <f t="shared" si="28"/>
        <v>0</v>
      </c>
      <c r="I27" s="181">
        <f t="shared" si="28"/>
        <v>0</v>
      </c>
      <c r="J27" s="181">
        <f t="shared" si="28"/>
        <v>0</v>
      </c>
      <c r="K27" s="181">
        <f t="shared" si="28"/>
        <v>0</v>
      </c>
      <c r="L27" s="181">
        <f t="shared" si="28"/>
        <v>0</v>
      </c>
      <c r="M27" s="181">
        <f t="shared" si="28"/>
        <v>0</v>
      </c>
      <c r="N27" s="181">
        <f t="shared" si="28"/>
        <v>0</v>
      </c>
      <c r="O27" s="181">
        <f t="shared" si="28"/>
        <v>0</v>
      </c>
      <c r="P27" s="181">
        <f t="shared" si="28"/>
        <v>0</v>
      </c>
      <c r="Q27" s="249">
        <f t="shared" si="27"/>
        <v>0</v>
      </c>
      <c r="R27" s="249">
        <f t="shared" si="12"/>
        <v>0</v>
      </c>
      <c r="S27" s="351"/>
    </row>
    <row r="28" spans="1:19" ht="31.5" x14ac:dyDescent="0.25">
      <c r="A28" s="172" t="s">
        <v>327</v>
      </c>
      <c r="B28" s="181" t="s">
        <v>310</v>
      </c>
      <c r="C28" s="242">
        <f>SUMIFS('амортизация на 20'!$J$5:$J$45,'амортизация на 20'!$B$5:$B$45,A28)</f>
        <v>0</v>
      </c>
      <c r="D28" s="274">
        <f>SUMIFS('амортизация на 20'!$M$5:$M$45,'амортизация на 20'!$B$5:$B$45,A28)</f>
        <v>0</v>
      </c>
      <c r="E28" s="181">
        <f t="shared" si="24"/>
        <v>0</v>
      </c>
      <c r="F28" s="181">
        <f t="shared" si="28"/>
        <v>0</v>
      </c>
      <c r="G28" s="181">
        <f t="shared" si="28"/>
        <v>0</v>
      </c>
      <c r="H28" s="181">
        <f t="shared" si="28"/>
        <v>0</v>
      </c>
      <c r="I28" s="181">
        <f t="shared" si="28"/>
        <v>0</v>
      </c>
      <c r="J28" s="181">
        <f t="shared" si="28"/>
        <v>0</v>
      </c>
      <c r="K28" s="181">
        <f t="shared" si="28"/>
        <v>0</v>
      </c>
      <c r="L28" s="181">
        <f t="shared" si="28"/>
        <v>0</v>
      </c>
      <c r="M28" s="181">
        <f t="shared" si="28"/>
        <v>0</v>
      </c>
      <c r="N28" s="181">
        <f t="shared" si="28"/>
        <v>0</v>
      </c>
      <c r="O28" s="181">
        <f t="shared" si="28"/>
        <v>0</v>
      </c>
      <c r="P28" s="181">
        <f t="shared" si="28"/>
        <v>0</v>
      </c>
      <c r="Q28" s="249">
        <f t="shared" si="27"/>
        <v>0</v>
      </c>
      <c r="R28" s="249">
        <f t="shared" si="12"/>
        <v>0</v>
      </c>
      <c r="S28" s="351"/>
    </row>
    <row r="29" spans="1:19" ht="31.5" x14ac:dyDescent="0.25">
      <c r="A29" s="183" t="s">
        <v>328</v>
      </c>
      <c r="B29" s="186" t="s">
        <v>311</v>
      </c>
      <c r="C29" s="242">
        <f>SUMIFS('амортизация на 20'!$J$5:$J$45,'амортизация на 20'!$B$5:$B$45,A29)</f>
        <v>0</v>
      </c>
      <c r="D29" s="274">
        <f>SUMIFS('амортизация на 20'!$M$5:$M$45,'амортизация на 20'!$B$5:$B$45,A29)</f>
        <v>0</v>
      </c>
      <c r="E29" s="186">
        <f t="shared" si="24"/>
        <v>0</v>
      </c>
      <c r="F29" s="186">
        <f t="shared" si="28"/>
        <v>0</v>
      </c>
      <c r="G29" s="186">
        <f t="shared" si="28"/>
        <v>0</v>
      </c>
      <c r="H29" s="186">
        <f t="shared" si="28"/>
        <v>0</v>
      </c>
      <c r="I29" s="186">
        <f t="shared" si="28"/>
        <v>0</v>
      </c>
      <c r="J29" s="186">
        <f t="shared" si="28"/>
        <v>0</v>
      </c>
      <c r="K29" s="186">
        <f t="shared" si="28"/>
        <v>0</v>
      </c>
      <c r="L29" s="186">
        <f t="shared" si="28"/>
        <v>0</v>
      </c>
      <c r="M29" s="186">
        <v>0</v>
      </c>
      <c r="N29" s="186">
        <v>0</v>
      </c>
      <c r="O29" s="186">
        <v>0</v>
      </c>
      <c r="P29" s="186">
        <v>0</v>
      </c>
      <c r="Q29" s="250">
        <f t="shared" si="27"/>
        <v>0</v>
      </c>
      <c r="R29" s="250">
        <f t="shared" si="12"/>
        <v>0</v>
      </c>
      <c r="S29" s="351"/>
    </row>
    <row r="30" spans="1:19" ht="15.75" x14ac:dyDescent="0.25">
      <c r="A30" s="172" t="s">
        <v>329</v>
      </c>
      <c r="B30" s="181" t="s">
        <v>312</v>
      </c>
      <c r="C30" s="242">
        <f>SUMIFS('амортизация на 20'!$J$5:$J$45,'амортизация на 20'!$B$5:$B$45,A30)</f>
        <v>0</v>
      </c>
      <c r="D30" s="274">
        <f>SUMIFS('амортизация на 20'!$M$5:$M$45,'амортизация на 20'!$B$5:$B$45,A30)</f>
        <v>0</v>
      </c>
      <c r="E30" s="181">
        <f t="shared" si="24"/>
        <v>0</v>
      </c>
      <c r="F30" s="181">
        <f t="shared" si="28"/>
        <v>0</v>
      </c>
      <c r="G30" s="181">
        <f t="shared" si="28"/>
        <v>0</v>
      </c>
      <c r="H30" s="181">
        <f t="shared" si="28"/>
        <v>0</v>
      </c>
      <c r="I30" s="181">
        <f t="shared" si="28"/>
        <v>0</v>
      </c>
      <c r="J30" s="181">
        <f t="shared" si="28"/>
        <v>0</v>
      </c>
      <c r="K30" s="181">
        <f t="shared" si="28"/>
        <v>0</v>
      </c>
      <c r="L30" s="181">
        <f t="shared" si="28"/>
        <v>0</v>
      </c>
      <c r="M30" s="181">
        <f t="shared" si="28"/>
        <v>0</v>
      </c>
      <c r="N30" s="181">
        <f t="shared" si="28"/>
        <v>0</v>
      </c>
      <c r="O30" s="181">
        <f t="shared" si="28"/>
        <v>0</v>
      </c>
      <c r="P30" s="181">
        <f t="shared" si="28"/>
        <v>0</v>
      </c>
      <c r="Q30" s="249">
        <f t="shared" si="27"/>
        <v>0</v>
      </c>
      <c r="R30" s="249">
        <f t="shared" si="12"/>
        <v>0</v>
      </c>
      <c r="S30" s="351"/>
    </row>
    <row r="31" spans="1:19" ht="31.5" x14ac:dyDescent="0.25">
      <c r="A31" s="172" t="s">
        <v>331</v>
      </c>
      <c r="B31" s="181" t="s">
        <v>313</v>
      </c>
      <c r="C31" s="242">
        <f>SUMIFS('амортизация на 20'!$J$5:$J$45,'амортизация на 20'!$B$5:$B$45,A31)</f>
        <v>0</v>
      </c>
      <c r="D31" s="274">
        <f>SUMIFS('амортизация на 20'!$M$5:$M$45,'амортизация на 20'!$B$5:$B$45,A31)</f>
        <v>0</v>
      </c>
      <c r="E31" s="181">
        <f t="shared" si="24"/>
        <v>0</v>
      </c>
      <c r="F31" s="181">
        <f t="shared" si="28"/>
        <v>0</v>
      </c>
      <c r="G31" s="181">
        <f t="shared" si="28"/>
        <v>0</v>
      </c>
      <c r="H31" s="181">
        <f t="shared" si="28"/>
        <v>0</v>
      </c>
      <c r="I31" s="181">
        <f t="shared" si="28"/>
        <v>0</v>
      </c>
      <c r="J31" s="181">
        <f t="shared" si="28"/>
        <v>0</v>
      </c>
      <c r="K31" s="181">
        <f t="shared" si="28"/>
        <v>0</v>
      </c>
      <c r="L31" s="181">
        <f t="shared" si="28"/>
        <v>0</v>
      </c>
      <c r="M31" s="181">
        <f t="shared" si="28"/>
        <v>0</v>
      </c>
      <c r="N31" s="181">
        <f t="shared" si="28"/>
        <v>0</v>
      </c>
      <c r="O31" s="181">
        <f t="shared" si="28"/>
        <v>0</v>
      </c>
      <c r="P31" s="181">
        <f t="shared" si="28"/>
        <v>0</v>
      </c>
      <c r="Q31" s="249">
        <f t="shared" si="27"/>
        <v>0</v>
      </c>
      <c r="R31" s="249">
        <f t="shared" si="12"/>
        <v>0</v>
      </c>
      <c r="S31" s="351"/>
    </row>
    <row r="32" spans="1:19" ht="31.5" x14ac:dyDescent="0.25">
      <c r="A32" s="172" t="s">
        <v>332</v>
      </c>
      <c r="B32" s="181" t="s">
        <v>314</v>
      </c>
      <c r="C32" s="242">
        <f>SUMIFS('амортизация на 20'!$J$5:$J$45,'амортизация на 20'!$B$5:$B$45,A32)</f>
        <v>0</v>
      </c>
      <c r="D32" s="274">
        <f>SUMIFS('амортизация на 20'!$M$5:$M$45,'амортизация на 20'!$B$5:$B$45,A32)</f>
        <v>0</v>
      </c>
      <c r="E32" s="181">
        <f t="shared" si="24"/>
        <v>0</v>
      </c>
      <c r="F32" s="181">
        <f t="shared" si="28"/>
        <v>0</v>
      </c>
      <c r="G32" s="181">
        <f t="shared" si="28"/>
        <v>0</v>
      </c>
      <c r="H32" s="181">
        <f t="shared" si="28"/>
        <v>0</v>
      </c>
      <c r="I32" s="181">
        <f t="shared" si="28"/>
        <v>0</v>
      </c>
      <c r="J32" s="181">
        <f t="shared" si="28"/>
        <v>0</v>
      </c>
      <c r="K32" s="181">
        <f t="shared" si="28"/>
        <v>0</v>
      </c>
      <c r="L32" s="181">
        <f t="shared" si="28"/>
        <v>0</v>
      </c>
      <c r="M32" s="181">
        <f t="shared" si="28"/>
        <v>0</v>
      </c>
      <c r="N32" s="181">
        <f t="shared" si="28"/>
        <v>0</v>
      </c>
      <c r="O32" s="181">
        <f t="shared" si="28"/>
        <v>0</v>
      </c>
      <c r="P32" s="181">
        <f t="shared" si="28"/>
        <v>0</v>
      </c>
      <c r="Q32" s="249">
        <f t="shared" si="27"/>
        <v>0</v>
      </c>
      <c r="R32" s="249">
        <f t="shared" si="12"/>
        <v>0</v>
      </c>
      <c r="S32" s="351"/>
    </row>
    <row r="33" spans="1:19" ht="15.75" x14ac:dyDescent="0.25">
      <c r="A33" s="172" t="s">
        <v>333</v>
      </c>
      <c r="B33" s="181" t="s">
        <v>315</v>
      </c>
      <c r="C33" s="242">
        <f>SUMIFS('амортизация на 20'!$J$5:$J$45,'амортизация на 20'!$B$5:$B$45,A33)</f>
        <v>0</v>
      </c>
      <c r="D33" s="274">
        <f>SUMIFS('амортизация на 20'!$M$5:$M$45,'амортизация на 20'!$B$5:$B$45,A33)</f>
        <v>0</v>
      </c>
      <c r="E33" s="181">
        <f t="shared" si="24"/>
        <v>0</v>
      </c>
      <c r="F33" s="181">
        <f t="shared" si="28"/>
        <v>0</v>
      </c>
      <c r="G33" s="181">
        <f t="shared" si="28"/>
        <v>0</v>
      </c>
      <c r="H33" s="181">
        <f t="shared" si="28"/>
        <v>0</v>
      </c>
      <c r="I33" s="181">
        <f t="shared" si="28"/>
        <v>0</v>
      </c>
      <c r="J33" s="181">
        <f t="shared" si="28"/>
        <v>0</v>
      </c>
      <c r="K33" s="181">
        <f t="shared" si="28"/>
        <v>0</v>
      </c>
      <c r="L33" s="181">
        <f t="shared" si="28"/>
        <v>0</v>
      </c>
      <c r="M33" s="181">
        <f t="shared" si="28"/>
        <v>0</v>
      </c>
      <c r="N33" s="181">
        <f t="shared" si="28"/>
        <v>0</v>
      </c>
      <c r="O33" s="181">
        <f t="shared" si="28"/>
        <v>0</v>
      </c>
      <c r="P33" s="181">
        <f t="shared" si="28"/>
        <v>0</v>
      </c>
      <c r="Q33" s="249">
        <f t="shared" si="27"/>
        <v>0</v>
      </c>
      <c r="R33" s="249">
        <f t="shared" si="12"/>
        <v>0</v>
      </c>
      <c r="S33" s="351"/>
    </row>
    <row r="34" spans="1:19" ht="15.75" x14ac:dyDescent="0.25">
      <c r="A34" s="172" t="s">
        <v>334</v>
      </c>
      <c r="B34" s="181" t="s">
        <v>316</v>
      </c>
      <c r="C34" s="242">
        <f>SUMIFS('амортизация на 20'!$J$5:$J$45,'амортизация на 20'!$B$5:$B$45,A34)</f>
        <v>0</v>
      </c>
      <c r="D34" s="274">
        <f>SUMIFS('амортизация на 20'!$M$5:$M$45,'амортизация на 20'!$B$5:$B$45,A34)</f>
        <v>0</v>
      </c>
      <c r="E34" s="181">
        <f t="shared" si="24"/>
        <v>0</v>
      </c>
      <c r="F34" s="181">
        <f t="shared" si="28"/>
        <v>0</v>
      </c>
      <c r="G34" s="181">
        <f t="shared" si="28"/>
        <v>0</v>
      </c>
      <c r="H34" s="181">
        <f t="shared" si="28"/>
        <v>0</v>
      </c>
      <c r="I34" s="181">
        <f t="shared" si="28"/>
        <v>0</v>
      </c>
      <c r="J34" s="181">
        <f t="shared" si="28"/>
        <v>0</v>
      </c>
      <c r="K34" s="181">
        <f t="shared" si="28"/>
        <v>0</v>
      </c>
      <c r="L34" s="181">
        <f t="shared" si="28"/>
        <v>0</v>
      </c>
      <c r="M34" s="181">
        <f t="shared" si="28"/>
        <v>0</v>
      </c>
      <c r="N34" s="181">
        <f t="shared" si="28"/>
        <v>0</v>
      </c>
      <c r="O34" s="181">
        <f t="shared" si="28"/>
        <v>0</v>
      </c>
      <c r="P34" s="181">
        <f t="shared" si="28"/>
        <v>0</v>
      </c>
      <c r="Q34" s="249">
        <f t="shared" si="27"/>
        <v>0</v>
      </c>
      <c r="R34" s="249">
        <f t="shared" si="12"/>
        <v>0</v>
      </c>
      <c r="S34" s="351"/>
    </row>
    <row r="35" spans="1:19" ht="15.75" x14ac:dyDescent="0.25">
      <c r="A35" s="172" t="s">
        <v>335</v>
      </c>
      <c r="B35" s="181" t="s">
        <v>317</v>
      </c>
      <c r="C35" s="242">
        <f>SUMIFS('амортизация на 20'!$J$5:$J$45,'амортизация на 20'!$B$5:$B$45,A35)</f>
        <v>0</v>
      </c>
      <c r="D35" s="274">
        <f>SUMIFS('амортизация на 20'!$M$5:$M$45,'амортизация на 20'!$B$5:$B$45,A35)</f>
        <v>0</v>
      </c>
      <c r="E35" s="181">
        <f t="shared" si="24"/>
        <v>0</v>
      </c>
      <c r="F35" s="181">
        <f t="shared" si="28"/>
        <v>0</v>
      </c>
      <c r="G35" s="181">
        <f t="shared" si="28"/>
        <v>0</v>
      </c>
      <c r="H35" s="181">
        <f t="shared" si="28"/>
        <v>0</v>
      </c>
      <c r="I35" s="181">
        <f t="shared" si="28"/>
        <v>0</v>
      </c>
      <c r="J35" s="181">
        <f t="shared" si="28"/>
        <v>0</v>
      </c>
      <c r="K35" s="181">
        <f t="shared" si="28"/>
        <v>0</v>
      </c>
      <c r="L35" s="181">
        <f t="shared" si="28"/>
        <v>0</v>
      </c>
      <c r="M35" s="181">
        <f t="shared" si="28"/>
        <v>0</v>
      </c>
      <c r="N35" s="181">
        <f t="shared" si="28"/>
        <v>0</v>
      </c>
      <c r="O35" s="181">
        <f t="shared" si="28"/>
        <v>0</v>
      </c>
      <c r="P35" s="181">
        <f t="shared" si="28"/>
        <v>0</v>
      </c>
      <c r="Q35" s="249">
        <f t="shared" si="27"/>
        <v>0</v>
      </c>
      <c r="R35" s="249">
        <f t="shared" si="12"/>
        <v>0</v>
      </c>
      <c r="S35" s="351"/>
    </row>
    <row r="36" spans="1:19" ht="15.75" x14ac:dyDescent="0.25">
      <c r="A36" s="172" t="s">
        <v>336</v>
      </c>
      <c r="B36" s="181" t="s">
        <v>318</v>
      </c>
      <c r="C36" s="242">
        <f>SUMIFS('амортизация на 20'!$J$5:$J$45,'амортизация на 20'!$B$5:$B$45,A36)</f>
        <v>0</v>
      </c>
      <c r="D36" s="274">
        <f>SUMIFS('амортизация на 20'!$M$5:$M$45,'амортизация на 20'!$B$5:$B$45,A36)</f>
        <v>0</v>
      </c>
      <c r="E36" s="181">
        <f t="shared" si="24"/>
        <v>0</v>
      </c>
      <c r="F36" s="181">
        <f t="shared" si="28"/>
        <v>0</v>
      </c>
      <c r="G36" s="181">
        <f t="shared" si="28"/>
        <v>0</v>
      </c>
      <c r="H36" s="181">
        <f t="shared" si="28"/>
        <v>0</v>
      </c>
      <c r="I36" s="181">
        <f t="shared" si="28"/>
        <v>0</v>
      </c>
      <c r="J36" s="181">
        <f t="shared" si="28"/>
        <v>0</v>
      </c>
      <c r="K36" s="181">
        <f t="shared" si="28"/>
        <v>0</v>
      </c>
      <c r="L36" s="181">
        <f t="shared" si="28"/>
        <v>0</v>
      </c>
      <c r="M36" s="181">
        <f t="shared" si="28"/>
        <v>0</v>
      </c>
      <c r="N36" s="181">
        <f t="shared" si="28"/>
        <v>0</v>
      </c>
      <c r="O36" s="181">
        <f t="shared" si="28"/>
        <v>0</v>
      </c>
      <c r="P36" s="181">
        <f t="shared" si="28"/>
        <v>0</v>
      </c>
      <c r="Q36" s="249">
        <f t="shared" si="27"/>
        <v>0</v>
      </c>
      <c r="R36" s="249">
        <f t="shared" si="12"/>
        <v>0</v>
      </c>
      <c r="S36" s="351"/>
    </row>
    <row r="37" spans="1:19" ht="15.75" x14ac:dyDescent="0.25">
      <c r="A37" s="172" t="s">
        <v>337</v>
      </c>
      <c r="B37" s="181" t="s">
        <v>319</v>
      </c>
      <c r="C37" s="242">
        <f>SUMIFS('амортизация на 20'!$J$5:$J$45,'амортизация на 20'!$B$5:$B$45,A37)</f>
        <v>0</v>
      </c>
      <c r="D37" s="274">
        <f>SUMIFS('амортизация на 20'!$M$5:$M$45,'амортизация на 20'!$B$5:$B$45,A37)</f>
        <v>0</v>
      </c>
      <c r="E37" s="181">
        <f t="shared" si="24"/>
        <v>0</v>
      </c>
      <c r="F37" s="181">
        <f t="shared" si="28"/>
        <v>0</v>
      </c>
      <c r="G37" s="181">
        <f t="shared" si="28"/>
        <v>0</v>
      </c>
      <c r="H37" s="181">
        <f t="shared" si="28"/>
        <v>0</v>
      </c>
      <c r="I37" s="181">
        <f t="shared" si="28"/>
        <v>0</v>
      </c>
      <c r="J37" s="181">
        <f t="shared" si="28"/>
        <v>0</v>
      </c>
      <c r="K37" s="181">
        <f t="shared" si="28"/>
        <v>0</v>
      </c>
      <c r="L37" s="181">
        <f t="shared" si="28"/>
        <v>0</v>
      </c>
      <c r="M37" s="181">
        <f t="shared" si="28"/>
        <v>0</v>
      </c>
      <c r="N37" s="181">
        <f t="shared" si="28"/>
        <v>0</v>
      </c>
      <c r="O37" s="181">
        <f t="shared" si="28"/>
        <v>0</v>
      </c>
      <c r="P37" s="181">
        <f t="shared" si="28"/>
        <v>0</v>
      </c>
      <c r="Q37" s="249">
        <f t="shared" si="27"/>
        <v>0</v>
      </c>
      <c r="R37" s="249">
        <f t="shared" si="12"/>
        <v>0</v>
      </c>
      <c r="S37" s="351"/>
    </row>
    <row r="38" spans="1:19" ht="31.5" x14ac:dyDescent="0.25">
      <c r="A38" s="172" t="s">
        <v>338</v>
      </c>
      <c r="B38" s="181" t="s">
        <v>320</v>
      </c>
      <c r="C38" s="242">
        <f>SUMIFS('амортизация на 20'!$J$5:$J$45,'амортизация на 20'!$B$5:$B$45,A38)</f>
        <v>0</v>
      </c>
      <c r="D38" s="274">
        <f>SUMIFS('амортизация на 20'!$M$5:$M$45,'амортизация на 20'!$B$5:$B$45,A38)</f>
        <v>0</v>
      </c>
      <c r="E38" s="181">
        <f t="shared" si="24"/>
        <v>0</v>
      </c>
      <c r="F38" s="181">
        <f t="shared" si="28"/>
        <v>0</v>
      </c>
      <c r="G38" s="181">
        <f t="shared" si="28"/>
        <v>0</v>
      </c>
      <c r="H38" s="181">
        <f t="shared" si="28"/>
        <v>0</v>
      </c>
      <c r="I38" s="181">
        <f t="shared" si="28"/>
        <v>0</v>
      </c>
      <c r="J38" s="181">
        <f t="shared" si="28"/>
        <v>0</v>
      </c>
      <c r="K38" s="181">
        <f t="shared" si="28"/>
        <v>0</v>
      </c>
      <c r="L38" s="181">
        <f t="shared" si="28"/>
        <v>0</v>
      </c>
      <c r="M38" s="181">
        <f t="shared" si="28"/>
        <v>0</v>
      </c>
      <c r="N38" s="181">
        <f t="shared" si="28"/>
        <v>0</v>
      </c>
      <c r="O38" s="181">
        <f t="shared" si="28"/>
        <v>0</v>
      </c>
      <c r="P38" s="181">
        <f t="shared" si="28"/>
        <v>0</v>
      </c>
      <c r="Q38" s="249">
        <f t="shared" si="27"/>
        <v>0</v>
      </c>
      <c r="R38" s="249">
        <f t="shared" si="12"/>
        <v>0</v>
      </c>
      <c r="S38" s="351"/>
    </row>
    <row r="39" spans="1:19" ht="31.5" x14ac:dyDescent="0.25">
      <c r="A39" s="172" t="s">
        <v>340</v>
      </c>
      <c r="B39" s="181" t="s">
        <v>321</v>
      </c>
      <c r="C39" s="242">
        <f>SUMIFS('амортизация на 20'!$J$5:$J$45,'амортизация на 20'!$B$5:$B$45,A39)</f>
        <v>0</v>
      </c>
      <c r="D39" s="274">
        <f>SUMIFS('амортизация на 20'!$M$5:$M$45,'амортизация на 20'!$B$5:$B$45,A39)</f>
        <v>0</v>
      </c>
      <c r="E39" s="181">
        <f t="shared" si="24"/>
        <v>0</v>
      </c>
      <c r="F39" s="181">
        <f t="shared" si="28"/>
        <v>0</v>
      </c>
      <c r="G39" s="181">
        <f t="shared" si="28"/>
        <v>0</v>
      </c>
      <c r="H39" s="181">
        <f t="shared" si="28"/>
        <v>0</v>
      </c>
      <c r="I39" s="181">
        <f t="shared" si="28"/>
        <v>0</v>
      </c>
      <c r="J39" s="181">
        <f t="shared" si="28"/>
        <v>0</v>
      </c>
      <c r="K39" s="181">
        <f t="shared" si="28"/>
        <v>0</v>
      </c>
      <c r="L39" s="181">
        <f t="shared" si="28"/>
        <v>0</v>
      </c>
      <c r="M39" s="181">
        <f t="shared" si="28"/>
        <v>0</v>
      </c>
      <c r="N39" s="181">
        <f t="shared" si="28"/>
        <v>0</v>
      </c>
      <c r="O39" s="181">
        <f t="shared" si="28"/>
        <v>0</v>
      </c>
      <c r="P39" s="181">
        <f t="shared" si="28"/>
        <v>0</v>
      </c>
      <c r="Q39" s="249">
        <f t="shared" si="27"/>
        <v>0</v>
      </c>
      <c r="R39" s="249">
        <f t="shared" si="12"/>
        <v>0</v>
      </c>
      <c r="S39" s="351"/>
    </row>
    <row r="40" spans="1:19" ht="15.75" x14ac:dyDescent="0.25">
      <c r="A40" s="172" t="s">
        <v>341</v>
      </c>
      <c r="B40" s="181" t="s">
        <v>322</v>
      </c>
      <c r="C40" s="242">
        <f>SUMIFS('амортизация на 20'!$J$5:$J$45,'амортизация на 20'!$B$5:$B$45,A40)</f>
        <v>0</v>
      </c>
      <c r="D40" s="274">
        <f>SUMIFS('амортизация на 20'!$M$5:$M$45,'амортизация на 20'!$B$5:$B$45,A40)</f>
        <v>0</v>
      </c>
      <c r="E40" s="181">
        <f t="shared" si="24"/>
        <v>0</v>
      </c>
      <c r="F40" s="181">
        <f t="shared" si="28"/>
        <v>0</v>
      </c>
      <c r="G40" s="181">
        <f t="shared" si="28"/>
        <v>0</v>
      </c>
      <c r="H40" s="181">
        <f t="shared" si="28"/>
        <v>0</v>
      </c>
      <c r="I40" s="181">
        <f t="shared" si="28"/>
        <v>0</v>
      </c>
      <c r="J40" s="181">
        <f t="shared" si="28"/>
        <v>0</v>
      </c>
      <c r="K40" s="181">
        <f t="shared" si="28"/>
        <v>0</v>
      </c>
      <c r="L40" s="181">
        <f t="shared" si="28"/>
        <v>0</v>
      </c>
      <c r="M40" s="181">
        <f t="shared" si="28"/>
        <v>0</v>
      </c>
      <c r="N40" s="181">
        <f t="shared" si="28"/>
        <v>0</v>
      </c>
      <c r="O40" s="181">
        <f t="shared" si="28"/>
        <v>0</v>
      </c>
      <c r="P40" s="181">
        <f t="shared" si="28"/>
        <v>0</v>
      </c>
      <c r="Q40" s="249">
        <f t="shared" si="27"/>
        <v>0</v>
      </c>
      <c r="R40" s="249">
        <f t="shared" si="12"/>
        <v>0</v>
      </c>
      <c r="S40" s="351"/>
    </row>
    <row r="41" spans="1:19" ht="31.5" x14ac:dyDescent="0.25">
      <c r="A41" s="172" t="s">
        <v>361</v>
      </c>
      <c r="B41" s="181" t="s">
        <v>357</v>
      </c>
      <c r="C41" s="242">
        <f>SUMIFS('амортизация на 20'!$J$5:$J$45,'амортизация на 20'!$B$5:$B$45,A41)</f>
        <v>299121</v>
      </c>
      <c r="D41" s="274">
        <f>SUMIFS('амортизация на 20'!$M$5:$M$45,'амортизация на 20'!$B$5:$B$45,A41)</f>
        <v>3989</v>
      </c>
      <c r="E41" s="181">
        <f t="shared" si="24"/>
        <v>295132</v>
      </c>
      <c r="F41" s="181">
        <f t="shared" si="28"/>
        <v>291143</v>
      </c>
      <c r="G41" s="181">
        <f t="shared" si="28"/>
        <v>287154</v>
      </c>
      <c r="H41" s="181">
        <f t="shared" si="28"/>
        <v>283165</v>
      </c>
      <c r="I41" s="181">
        <f t="shared" si="28"/>
        <v>279176</v>
      </c>
      <c r="J41" s="181">
        <f t="shared" si="28"/>
        <v>275187</v>
      </c>
      <c r="K41" s="181">
        <f t="shared" si="28"/>
        <v>271198</v>
      </c>
      <c r="L41" s="181">
        <f t="shared" si="28"/>
        <v>267209</v>
      </c>
      <c r="M41" s="181">
        <f t="shared" si="28"/>
        <v>263220</v>
      </c>
      <c r="N41" s="181">
        <f t="shared" si="28"/>
        <v>259231</v>
      </c>
      <c r="O41" s="181">
        <f t="shared" si="28"/>
        <v>255242</v>
      </c>
      <c r="P41" s="181">
        <f t="shared" si="28"/>
        <v>251253</v>
      </c>
      <c r="Q41" s="249">
        <f t="shared" si="27"/>
        <v>275187</v>
      </c>
      <c r="R41" s="249">
        <f t="shared" si="12"/>
        <v>6054.1139999999996</v>
      </c>
      <c r="S41" s="351"/>
    </row>
    <row r="42" spans="1:19" ht="31.5" x14ac:dyDescent="0.25">
      <c r="A42" s="172" t="s">
        <v>360</v>
      </c>
      <c r="B42" s="181" t="s">
        <v>356</v>
      </c>
      <c r="C42" s="242">
        <f>SUMIFS('амортизация на 20'!$J$5:$J$45,'амортизация на 20'!$B$5:$B$45,A42)</f>
        <v>759732</v>
      </c>
      <c r="D42" s="274">
        <f>SUMIFS('амортизация на 20'!$M$5:$M$45,'амортизация на 20'!$B$5:$B$45,A42)</f>
        <v>9044</v>
      </c>
      <c r="E42" s="181">
        <f t="shared" si="24"/>
        <v>750688</v>
      </c>
      <c r="F42" s="181">
        <f t="shared" si="28"/>
        <v>741644</v>
      </c>
      <c r="G42" s="181">
        <f t="shared" si="28"/>
        <v>732600</v>
      </c>
      <c r="H42" s="181">
        <f t="shared" si="28"/>
        <v>723556</v>
      </c>
      <c r="I42" s="181">
        <f t="shared" si="28"/>
        <v>714512</v>
      </c>
      <c r="J42" s="181">
        <f t="shared" si="28"/>
        <v>705468</v>
      </c>
      <c r="K42" s="181">
        <f t="shared" si="28"/>
        <v>696424</v>
      </c>
      <c r="L42" s="181">
        <f t="shared" si="28"/>
        <v>687380</v>
      </c>
      <c r="M42" s="181">
        <f t="shared" si="28"/>
        <v>678336</v>
      </c>
      <c r="N42" s="181">
        <f t="shared" si="28"/>
        <v>669292</v>
      </c>
      <c r="O42" s="181">
        <f t="shared" si="28"/>
        <v>660248</v>
      </c>
      <c r="P42" s="181">
        <f t="shared" si="28"/>
        <v>651204</v>
      </c>
      <c r="Q42" s="249">
        <f t="shared" si="27"/>
        <v>705468</v>
      </c>
      <c r="R42" s="249">
        <f t="shared" si="12"/>
        <v>15520.295999999998</v>
      </c>
      <c r="S42" s="351"/>
    </row>
    <row r="43" spans="1:19" ht="47.25" x14ac:dyDescent="0.25">
      <c r="A43" s="189" t="s">
        <v>383</v>
      </c>
      <c r="B43" s="190" t="s">
        <v>384</v>
      </c>
      <c r="C43" s="242">
        <f>SUMIFS('амортизация на 20'!$J$5:$J$45,'амортизация на 20'!$B$5:$B$45,A43)</f>
        <v>0</v>
      </c>
      <c r="D43" s="242">
        <f>SUMIFS('амортизация на 20'!$M$5:$M$45,'амортизация на 20'!$B$5:$B$45,A43)</f>
        <v>0</v>
      </c>
      <c r="E43" s="181">
        <f t="shared" ref="E43:E44" si="29">C43-D43</f>
        <v>0</v>
      </c>
      <c r="F43" s="181">
        <f t="shared" ref="F43:F44" si="30">E43-$D43</f>
        <v>0</v>
      </c>
      <c r="G43" s="181">
        <f t="shared" ref="G43:G44" si="31">F43-$D43</f>
        <v>0</v>
      </c>
      <c r="H43" s="181">
        <f t="shared" ref="H43:H44" si="32">G43-$D43</f>
        <v>0</v>
      </c>
      <c r="I43" s="181">
        <f t="shared" ref="I43:I44" si="33">H43-$D43</f>
        <v>0</v>
      </c>
      <c r="J43" s="181">
        <f t="shared" ref="J43:J44" si="34">I43-$D43</f>
        <v>0</v>
      </c>
      <c r="K43" s="181">
        <f t="shared" ref="K43:K44" si="35">J43-$D43</f>
        <v>0</v>
      </c>
      <c r="L43" s="181">
        <f t="shared" ref="L43:L44" si="36">K43-$D43</f>
        <v>0</v>
      </c>
      <c r="M43" s="181">
        <f t="shared" ref="M43:M44" si="37">L43-$D43</f>
        <v>0</v>
      </c>
      <c r="N43" s="181">
        <f t="shared" ref="N43:N44" si="38">M43-$D43</f>
        <v>0</v>
      </c>
      <c r="O43" s="181">
        <f t="shared" ref="O43:O44" si="39">N43-$D43</f>
        <v>0</v>
      </c>
      <c r="P43" s="181">
        <f t="shared" ref="P43:P44" si="40">O43-$D43</f>
        <v>0</v>
      </c>
      <c r="Q43" s="249">
        <f t="shared" ref="Q43:Q44" si="41">(SUM(E43:P43)+C43)/13</f>
        <v>0</v>
      </c>
      <c r="R43" s="249">
        <f t="shared" ref="R43:R44" si="42">Q43*0.022</f>
        <v>0</v>
      </c>
      <c r="S43" s="351"/>
    </row>
    <row r="44" spans="1:19" ht="47.25" x14ac:dyDescent="0.25">
      <c r="A44" s="189">
        <v>4705800004</v>
      </c>
      <c r="B44" s="190" t="s">
        <v>384</v>
      </c>
      <c r="C44" s="242">
        <f>SUMIFS('амортизация на 20'!$J$5:$J$45,'амортизация на 20'!$B$5:$B$45,A44)</f>
        <v>0</v>
      </c>
      <c r="D44" s="242">
        <f>SUMIFS('амортизация на 20'!$M$5:$M$45,'амортизация на 20'!$B$5:$B$45,A44)</f>
        <v>0</v>
      </c>
      <c r="E44" s="181">
        <f t="shared" si="29"/>
        <v>0</v>
      </c>
      <c r="F44" s="181">
        <f t="shared" si="30"/>
        <v>0</v>
      </c>
      <c r="G44" s="181">
        <f t="shared" si="31"/>
        <v>0</v>
      </c>
      <c r="H44" s="181">
        <f t="shared" si="32"/>
        <v>0</v>
      </c>
      <c r="I44" s="181">
        <f t="shared" si="33"/>
        <v>0</v>
      </c>
      <c r="J44" s="181">
        <f t="shared" si="34"/>
        <v>0</v>
      </c>
      <c r="K44" s="181">
        <f t="shared" si="35"/>
        <v>0</v>
      </c>
      <c r="L44" s="181">
        <f t="shared" si="36"/>
        <v>0</v>
      </c>
      <c r="M44" s="181">
        <f t="shared" si="37"/>
        <v>0</v>
      </c>
      <c r="N44" s="181">
        <f t="shared" si="38"/>
        <v>0</v>
      </c>
      <c r="O44" s="181">
        <f t="shared" si="39"/>
        <v>0</v>
      </c>
      <c r="P44" s="181">
        <f t="shared" si="40"/>
        <v>0</v>
      </c>
      <c r="Q44" s="249">
        <f t="shared" si="41"/>
        <v>0</v>
      </c>
      <c r="R44" s="249">
        <f t="shared" si="42"/>
        <v>0</v>
      </c>
      <c r="S44" s="351"/>
    </row>
    <row r="45" spans="1:19" s="57" customFormat="1" x14ac:dyDescent="0.25">
      <c r="A45" s="251"/>
      <c r="B45" s="252" t="s">
        <v>290</v>
      </c>
      <c r="C45" s="253">
        <f>SUM(C4:C44)</f>
        <v>1352110</v>
      </c>
      <c r="D45" s="253">
        <f t="shared" ref="D45:R45" si="43">SUM(D4:D44)</f>
        <v>40552.78</v>
      </c>
      <c r="E45" s="253">
        <f t="shared" si="43"/>
        <v>1311557.22</v>
      </c>
      <c r="F45" s="253">
        <f t="shared" si="43"/>
        <v>1271004.44</v>
      </c>
      <c r="G45" s="253">
        <f t="shared" si="43"/>
        <v>1230451.6600000001</v>
      </c>
      <c r="H45" s="253">
        <f t="shared" si="43"/>
        <v>1189898.8800000001</v>
      </c>
      <c r="I45" s="253">
        <f t="shared" si="43"/>
        <v>1149346.1000000001</v>
      </c>
      <c r="J45" s="253">
        <f t="shared" si="43"/>
        <v>1108793.32</v>
      </c>
      <c r="K45" s="253">
        <f t="shared" si="43"/>
        <v>1068240.54</v>
      </c>
      <c r="L45" s="253">
        <f t="shared" si="43"/>
        <v>1027687.76</v>
      </c>
      <c r="M45" s="253">
        <f t="shared" si="43"/>
        <v>987134.98</v>
      </c>
      <c r="N45" s="253">
        <f t="shared" si="43"/>
        <v>946582.2</v>
      </c>
      <c r="O45" s="253">
        <f t="shared" si="43"/>
        <v>932730.2</v>
      </c>
      <c r="P45" s="253">
        <f t="shared" si="43"/>
        <v>918878.2</v>
      </c>
      <c r="Q45" s="253">
        <f t="shared" si="43"/>
        <v>1114955.0384615385</v>
      </c>
      <c r="R45" s="253">
        <f t="shared" si="43"/>
        <v>22244.288846153846</v>
      </c>
      <c r="S45" s="351"/>
    </row>
    <row r="46" spans="1:19" s="58" customFormat="1" ht="30" x14ac:dyDescent="0.25">
      <c r="A46" s="254"/>
      <c r="B46" s="255" t="s">
        <v>291</v>
      </c>
      <c r="C46" s="256">
        <f>C45*$D$51/100</f>
        <v>162503.20493066256</v>
      </c>
      <c r="D46" s="256">
        <f t="shared" ref="D46:R46" si="44">D45*$D$51/100</f>
        <v>4873.8318027734977</v>
      </c>
      <c r="E46" s="256">
        <f t="shared" si="44"/>
        <v>157629.37312788906</v>
      </c>
      <c r="F46" s="256">
        <f t="shared" si="44"/>
        <v>152755.54132511557</v>
      </c>
      <c r="G46" s="256">
        <f t="shared" si="44"/>
        <v>147881.70952234208</v>
      </c>
      <c r="H46" s="256">
        <f t="shared" si="44"/>
        <v>143007.87771956858</v>
      </c>
      <c r="I46" s="256">
        <f t="shared" si="44"/>
        <v>138134.04591679509</v>
      </c>
      <c r="J46" s="256">
        <f t="shared" si="44"/>
        <v>133260.2141140216</v>
      </c>
      <c r="K46" s="256">
        <f t="shared" si="44"/>
        <v>128386.38231124809</v>
      </c>
      <c r="L46" s="256">
        <f t="shared" si="44"/>
        <v>123512.55050847458</v>
      </c>
      <c r="M46" s="256">
        <f t="shared" si="44"/>
        <v>118638.71870570109</v>
      </c>
      <c r="N46" s="256">
        <f t="shared" si="44"/>
        <v>113764.8869029276</v>
      </c>
      <c r="O46" s="256">
        <f t="shared" si="44"/>
        <v>112100.08567026193</v>
      </c>
      <c r="P46" s="256">
        <f t="shared" si="44"/>
        <v>110435.28443759629</v>
      </c>
      <c r="Q46" s="256">
        <f t="shared" si="44"/>
        <v>134000.75963020034</v>
      </c>
      <c r="R46" s="256">
        <f t="shared" si="44"/>
        <v>2673.4276271186445</v>
      </c>
      <c r="S46" s="351"/>
    </row>
    <row r="47" spans="1:19" s="58" customFormat="1" x14ac:dyDescent="0.25">
      <c r="A47" s="59"/>
      <c r="B47" s="60"/>
      <c r="C47" s="61"/>
      <c r="D47"/>
      <c r="E47"/>
      <c r="F47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2"/>
    </row>
    <row r="48" spans="1:19" s="58" customFormat="1" x14ac:dyDescent="0.25">
      <c r="A48" s="319" t="s">
        <v>300</v>
      </c>
      <c r="B48" s="319"/>
      <c r="C48" s="319"/>
      <c r="D48" s="11"/>
      <c r="E48" s="55"/>
      <c r="F48" s="55"/>
      <c r="G48"/>
      <c r="H48"/>
      <c r="I48"/>
      <c r="J48" s="61"/>
      <c r="K48" s="61"/>
      <c r="L48" s="61"/>
      <c r="M48" s="61"/>
      <c r="N48" s="61"/>
      <c r="O48" s="61"/>
      <c r="P48" s="61"/>
      <c r="Q48" s="61"/>
      <c r="R48" s="61"/>
      <c r="S48" s="62"/>
    </row>
    <row r="49" spans="1:19" s="58" customFormat="1" ht="38.25" x14ac:dyDescent="0.25">
      <c r="A49" s="48"/>
      <c r="B49" s="7"/>
      <c r="C49" s="93" t="s">
        <v>429</v>
      </c>
      <c r="D49" s="93" t="s">
        <v>372</v>
      </c>
      <c r="E49" s="55"/>
      <c r="F49" s="54"/>
      <c r="G49"/>
      <c r="H49"/>
      <c r="I49"/>
      <c r="J49" s="61"/>
      <c r="K49" s="61"/>
      <c r="L49" s="61"/>
      <c r="M49" s="61"/>
      <c r="N49" s="61"/>
      <c r="O49" s="61"/>
      <c r="P49" s="61"/>
      <c r="Q49" s="61"/>
      <c r="R49" s="61"/>
      <c r="S49" s="62"/>
    </row>
    <row r="50" spans="1:19" s="58" customFormat="1" ht="30" x14ac:dyDescent="0.25">
      <c r="A50" s="48">
        <v>1</v>
      </c>
      <c r="B50" s="91" t="s">
        <v>301</v>
      </c>
      <c r="C50" s="111">
        <f>'амортизация на 20'!D51</f>
        <v>85650</v>
      </c>
      <c r="D50" s="111">
        <f>D52-D51</f>
        <v>87.981510015408318</v>
      </c>
      <c r="E50" s="55"/>
      <c r="F50" s="54"/>
      <c r="G50"/>
      <c r="H50"/>
      <c r="I50"/>
      <c r="J50" s="61"/>
      <c r="K50" s="61"/>
      <c r="L50" s="61"/>
      <c r="M50" s="61"/>
      <c r="N50" s="61"/>
      <c r="O50" s="61"/>
      <c r="P50" s="61"/>
      <c r="Q50" s="61"/>
      <c r="R50" s="61"/>
      <c r="S50" s="62"/>
    </row>
    <row r="51" spans="1:19" s="58" customFormat="1" ht="30" x14ac:dyDescent="0.25">
      <c r="A51" s="48">
        <v>2</v>
      </c>
      <c r="B51" s="91" t="s">
        <v>302</v>
      </c>
      <c r="C51" s="111">
        <f>'амортизация на 20'!D52</f>
        <v>11700</v>
      </c>
      <c r="D51" s="111">
        <f>D52/C52*C51</f>
        <v>12.01848998459168</v>
      </c>
      <c r="E51" s="55"/>
      <c r="F51" s="54"/>
      <c r="G51"/>
      <c r="H51"/>
      <c r="I51"/>
      <c r="J51" s="61"/>
      <c r="K51" s="61"/>
      <c r="L51" s="61"/>
      <c r="M51" s="61"/>
      <c r="N51" s="61"/>
      <c r="O51" s="61"/>
      <c r="P51" s="61"/>
      <c r="Q51" s="61"/>
      <c r="R51" s="61"/>
      <c r="S51" s="62"/>
    </row>
    <row r="52" spans="1:19" s="58" customFormat="1" x14ac:dyDescent="0.25">
      <c r="A52" s="48">
        <v>3</v>
      </c>
      <c r="B52" s="94" t="s">
        <v>303</v>
      </c>
      <c r="C52" s="203">
        <f>'амортизация на 20'!D53</f>
        <v>97350</v>
      </c>
      <c r="D52" s="110">
        <v>100</v>
      </c>
      <c r="E52" s="55"/>
      <c r="F52" s="54"/>
      <c r="G52"/>
      <c r="H52"/>
      <c r="I52"/>
      <c r="J52" s="61"/>
      <c r="K52" s="61"/>
      <c r="L52" s="61"/>
      <c r="M52" s="61"/>
      <c r="N52" s="61"/>
      <c r="O52" s="61"/>
      <c r="P52" s="61"/>
      <c r="Q52" s="61"/>
      <c r="R52" s="61"/>
      <c r="S52" s="62"/>
    </row>
    <row r="53" spans="1:19" s="58" customFormat="1" x14ac:dyDescent="0.25">
      <c r="A53" s="53"/>
      <c r="B53" s="53"/>
      <c r="C53" s="54"/>
      <c r="D53" s="55"/>
      <c r="E53" s="55"/>
      <c r="F53" s="55"/>
      <c r="G53"/>
      <c r="H53"/>
      <c r="I53"/>
      <c r="J53" s="61"/>
      <c r="K53" s="61"/>
      <c r="L53" s="61"/>
      <c r="M53" s="61"/>
      <c r="N53" s="61"/>
      <c r="O53" s="61"/>
      <c r="P53" s="61"/>
      <c r="Q53" s="61"/>
      <c r="R53" s="61"/>
      <c r="S53" s="62"/>
    </row>
    <row r="54" spans="1:19" s="58" customFormat="1" ht="15.75" x14ac:dyDescent="0.25">
      <c r="A54" s="206" t="s">
        <v>392</v>
      </c>
      <c r="B54" s="53"/>
      <c r="C54" s="54"/>
      <c r="D54" s="55"/>
      <c r="E54" s="55"/>
      <c r="F54" s="55"/>
      <c r="G54" s="11"/>
      <c r="H54" s="11"/>
      <c r="I54" s="11"/>
      <c r="J54" s="61"/>
      <c r="K54" s="61"/>
      <c r="L54" s="61"/>
      <c r="M54" s="61"/>
      <c r="N54" s="61"/>
      <c r="O54" s="61"/>
      <c r="P54" s="61"/>
      <c r="Q54" s="61"/>
      <c r="R54" s="61"/>
      <c r="S54" s="62"/>
    </row>
    <row r="55" spans="1:19" s="58" customFormat="1" x14ac:dyDescent="0.25">
      <c r="A55" s="53"/>
      <c r="B55" s="53"/>
      <c r="C55" s="54"/>
      <c r="D55" s="55"/>
      <c r="E55" s="55"/>
      <c r="F55" s="55"/>
      <c r="G55" s="11"/>
      <c r="H55" s="11"/>
      <c r="I55" s="11"/>
      <c r="J55" s="61"/>
      <c r="K55" s="61"/>
      <c r="L55" s="61"/>
      <c r="M55" s="61"/>
      <c r="N55" s="61"/>
      <c r="O55" s="61"/>
      <c r="P55" s="61"/>
      <c r="Q55" s="61"/>
      <c r="R55" s="61"/>
      <c r="S55" s="62"/>
    </row>
    <row r="56" spans="1:19" s="58" customFormat="1" x14ac:dyDescent="0.25">
      <c r="A56" s="53"/>
      <c r="B56" s="53"/>
      <c r="C56" s="54"/>
      <c r="D56" s="55"/>
      <c r="E56" s="55"/>
      <c r="F56" s="55"/>
      <c r="G56" s="11"/>
      <c r="H56" s="11"/>
      <c r="I56" s="11"/>
      <c r="J56" s="61"/>
      <c r="K56" s="61"/>
      <c r="L56" s="61"/>
      <c r="M56" s="61"/>
      <c r="N56" s="61"/>
      <c r="O56" s="61"/>
      <c r="P56" s="61"/>
      <c r="Q56" s="61"/>
      <c r="R56" s="61"/>
      <c r="S56" s="62"/>
    </row>
    <row r="57" spans="1:19" x14ac:dyDescent="0.25">
      <c r="B57" s="38" t="s">
        <v>172</v>
      </c>
      <c r="C57" s="17"/>
      <c r="D57" s="14"/>
      <c r="F57" s="16" t="s">
        <v>173</v>
      </c>
    </row>
    <row r="58" spans="1:19" x14ac:dyDescent="0.25">
      <c r="B58" s="39" t="s">
        <v>174</v>
      </c>
      <c r="C58" s="18"/>
      <c r="D58" s="12" t="s">
        <v>176</v>
      </c>
      <c r="F58" s="15" t="s">
        <v>175</v>
      </c>
    </row>
    <row r="60" spans="1:19" x14ac:dyDescent="0.25">
      <c r="B60" s="11" t="s">
        <v>195</v>
      </c>
    </row>
  </sheetData>
  <autoFilter ref="A3:S3"/>
  <mergeCells count="3">
    <mergeCell ref="A1:R1"/>
    <mergeCell ref="S4:S46"/>
    <mergeCell ref="A48:C48"/>
  </mergeCells>
  <printOptions horizontalCentered="1"/>
  <pageMargins left="0.11811023622047245" right="0.11811023622047245" top="0.52" bottom="0.19685039370078741" header="0.19" footer="0.31496062992125984"/>
  <pageSetup paperSize="9" scale="42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" sqref="C2:C4"/>
    </sheetView>
  </sheetViews>
  <sheetFormatPr defaultRowHeight="15" x14ac:dyDescent="0.25"/>
  <cols>
    <col min="1" max="1" width="22.42578125" customWidth="1"/>
    <col min="2" max="2" width="21.42578125" customWidth="1"/>
    <col min="3" max="3" width="23.85546875" customWidth="1"/>
  </cols>
  <sheetData>
    <row r="1" spans="1:3" s="11" customFormat="1" x14ac:dyDescent="0.25">
      <c r="B1" s="11">
        <v>2016</v>
      </c>
      <c r="C1" s="11">
        <v>2018</v>
      </c>
    </row>
    <row r="2" spans="1:3" x14ac:dyDescent="0.25">
      <c r="A2" s="13" t="s">
        <v>6</v>
      </c>
      <c r="B2" s="99">
        <f>B3</f>
        <v>6952.2645599999996</v>
      </c>
      <c r="C2" s="95"/>
    </row>
    <row r="3" spans="1:3" x14ac:dyDescent="0.25">
      <c r="A3" s="7" t="s">
        <v>169</v>
      </c>
      <c r="B3" s="100">
        <v>6952.2645599999996</v>
      </c>
      <c r="C3" s="97"/>
    </row>
    <row r="4" spans="1:3" ht="78.75" x14ac:dyDescent="0.25">
      <c r="A4" s="101" t="s">
        <v>171</v>
      </c>
      <c r="B4" s="100">
        <v>47012.622479999998</v>
      </c>
      <c r="C4" s="78"/>
    </row>
  </sheetData>
  <pageMargins left="0.70866141732283472" right="0.70866141732283472" top="0.1574803149606299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1.16</vt:lpstr>
      <vt:lpstr>1.15</vt:lpstr>
      <vt:lpstr>1.18.2</vt:lpstr>
      <vt:lpstr>расшифровки_2018</vt:lpstr>
      <vt:lpstr>амортизация на 20</vt:lpstr>
      <vt:lpstr>налог_имущ_на 20</vt:lpstr>
      <vt:lpstr>Лист1</vt:lpstr>
      <vt:lpstr>'1.15'!Область_печати</vt:lpstr>
      <vt:lpstr>'1.16'!Область_печати</vt:lpstr>
      <vt:lpstr>'1.18.2'!Область_печати</vt:lpstr>
      <vt:lpstr>'амортизация на 20'!Область_печати</vt:lpstr>
      <vt:lpstr>расшифровки_2018!Область_печати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Kosarev</dc:creator>
  <cp:lastModifiedBy>Kosarev</cp:lastModifiedBy>
  <cp:lastPrinted>2018-04-28T09:10:02Z</cp:lastPrinted>
  <dcterms:created xsi:type="dcterms:W3CDTF">2015-04-26T07:47:22Z</dcterms:created>
  <dcterms:modified xsi:type="dcterms:W3CDTF">2019-04-22T06:33:48Z</dcterms:modified>
</cp:coreProperties>
</file>